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 activeTab="1"/>
  </bookViews>
  <sheets>
    <sheet name="Troskovi" sheetId="1" r:id="rId1"/>
    <sheet name="Promena troskova" sheetId="2" r:id="rId2"/>
    <sheet name="Dijagrami" sheetId="3" r:id="rId3"/>
  </sheets>
  <calcPr calcId="145621"/>
</workbook>
</file>

<file path=xl/calcChain.xml><?xml version="1.0" encoding="utf-8"?>
<calcChain xmlns="http://schemas.openxmlformats.org/spreadsheetml/2006/main">
  <c r="H7" i="2" l="1"/>
  <c r="J30" i="1" l="1"/>
  <c r="J29" i="1"/>
  <c r="I29" i="1" s="1"/>
  <c r="D29" i="1" s="1"/>
  <c r="J28" i="1"/>
  <c r="I28" i="1" s="1"/>
  <c r="C28" i="1" s="1"/>
  <c r="D28" i="1" s="1"/>
  <c r="J24" i="1"/>
  <c r="D27" i="1" s="1"/>
  <c r="J22" i="1"/>
  <c r="J21" i="1"/>
  <c r="L20" i="1"/>
  <c r="K20" i="1" s="1"/>
  <c r="J20" i="1" s="1"/>
  <c r="D20" i="1" s="1"/>
  <c r="J16" i="1"/>
  <c r="D16" i="1" s="1"/>
  <c r="J17" i="1"/>
  <c r="I18" i="1" s="1"/>
  <c r="D18" i="1" s="1"/>
  <c r="D15" i="1"/>
  <c r="J14" i="1"/>
  <c r="K14" i="1" s="1"/>
  <c r="C14" i="1" s="1"/>
  <c r="D14" i="1" s="1"/>
  <c r="F14" i="1" s="1"/>
  <c r="C12" i="1"/>
  <c r="D12" i="1" s="1"/>
  <c r="F12" i="1" s="1"/>
  <c r="C10" i="1"/>
  <c r="D10" i="1" s="1"/>
  <c r="G55" i="1"/>
  <c r="D30" i="1"/>
  <c r="C30" i="1" s="1"/>
  <c r="K18" i="1"/>
  <c r="I17" i="1" s="1"/>
  <c r="D17" i="1" s="1"/>
  <c r="C13" i="1"/>
  <c r="D13" i="1" s="1"/>
  <c r="F13" i="1" s="1"/>
  <c r="C11" i="1"/>
  <c r="D11" i="1" s="1"/>
  <c r="F11" i="1" s="1"/>
  <c r="C9" i="1"/>
  <c r="D9" i="1" s="1"/>
  <c r="F9" i="1" s="1"/>
  <c r="E5" i="1"/>
  <c r="F5" i="1" s="1"/>
  <c r="C5" i="1"/>
  <c r="F28" i="1" l="1"/>
  <c r="F16" i="1"/>
  <c r="D22" i="1"/>
  <c r="F22" i="1" s="1"/>
  <c r="C16" i="1"/>
  <c r="D21" i="1"/>
  <c r="F21" i="1" s="1"/>
  <c r="F30" i="1"/>
  <c r="C27" i="1"/>
  <c r="F10" i="1"/>
  <c r="F18" i="1"/>
  <c r="C18" i="1"/>
  <c r="C20" i="1"/>
  <c r="F20" i="1"/>
  <c r="C15" i="1"/>
  <c r="F15" i="1"/>
  <c r="C29" i="1"/>
  <c r="F29" i="1"/>
  <c r="I19" i="1"/>
  <c r="D19" i="1" s="1"/>
  <c r="F27" i="1"/>
  <c r="C21" i="1" l="1"/>
  <c r="J31" i="1"/>
  <c r="K31" i="1" s="1"/>
  <c r="C31" i="1" s="1"/>
  <c r="D31" i="1" s="1"/>
  <c r="C22" i="1"/>
  <c r="D32" i="1"/>
  <c r="D33" i="1" s="1"/>
  <c r="F19" i="1"/>
  <c r="C19" i="1"/>
  <c r="C17" i="1"/>
  <c r="F17" i="1"/>
  <c r="J23" i="1" l="1"/>
  <c r="K23" i="1" s="1"/>
  <c r="C23" i="1" s="1"/>
  <c r="D23" i="1" s="1"/>
  <c r="C32" i="1"/>
  <c r="C36" i="1" s="1"/>
  <c r="F23" i="1"/>
  <c r="D24" i="1"/>
  <c r="D25" i="1" s="1"/>
  <c r="F24" i="1"/>
  <c r="F25" i="1" s="1"/>
  <c r="F31" i="1"/>
  <c r="F32" i="1" s="1"/>
  <c r="F36" i="1" s="1"/>
  <c r="B16" i="2"/>
  <c r="D36" i="1"/>
  <c r="C24" i="1"/>
  <c r="C35" i="1" s="1"/>
  <c r="C37" i="1" l="1"/>
  <c r="F35" i="1"/>
  <c r="F37" i="1" s="1"/>
  <c r="B15" i="2"/>
  <c r="R27" i="2" s="1"/>
  <c r="C25" i="1"/>
  <c r="F33" i="1"/>
  <c r="C33" i="1"/>
  <c r="D35" i="1"/>
  <c r="D37" i="1" s="1"/>
  <c r="C40" i="1"/>
  <c r="C38" i="1"/>
  <c r="F10" i="2" l="1"/>
  <c r="J20" i="2"/>
  <c r="H20" i="2"/>
  <c r="H30" i="2"/>
  <c r="F6" i="2"/>
  <c r="P4" i="2"/>
  <c r="J21" i="2"/>
  <c r="H23" i="2"/>
  <c r="P22" i="2"/>
  <c r="L27" i="2"/>
  <c r="P26" i="2"/>
  <c r="N10" i="2"/>
  <c r="F11" i="2"/>
  <c r="N30" i="2"/>
  <c r="L18" i="2"/>
  <c r="H29" i="2"/>
  <c r="N5" i="2"/>
  <c r="T19" i="2"/>
  <c r="N19" i="2"/>
  <c r="D18" i="2"/>
  <c r="H22" i="2"/>
  <c r="L3" i="2"/>
  <c r="F15" i="2"/>
  <c r="P21" i="2"/>
  <c r="N29" i="2"/>
  <c r="J11" i="2"/>
  <c r="N4" i="2"/>
  <c r="N21" i="2"/>
  <c r="T26" i="2"/>
  <c r="L28" i="2"/>
  <c r="H14" i="2"/>
  <c r="H5" i="2"/>
  <c r="F13" i="2"/>
  <c r="L21" i="2"/>
  <c r="J31" i="2"/>
  <c r="F2" i="2"/>
  <c r="J6" i="2"/>
  <c r="J26" i="2"/>
  <c r="F18" i="2"/>
  <c r="F23" i="2"/>
  <c r="F29" i="2"/>
  <c r="J2" i="2"/>
  <c r="F30" i="2"/>
  <c r="F14" i="2"/>
  <c r="L30" i="2"/>
  <c r="L12" i="2"/>
  <c r="J4" i="2"/>
  <c r="R23" i="2"/>
  <c r="P5" i="2"/>
  <c r="N13" i="2"/>
  <c r="F27" i="2"/>
  <c r="R31" i="2"/>
  <c r="N15" i="2"/>
  <c r="P31" i="2"/>
  <c r="P10" i="2"/>
  <c r="T22" i="2"/>
  <c r="H18" i="2"/>
  <c r="R26" i="2"/>
  <c r="F22" i="2"/>
  <c r="N3" i="2"/>
  <c r="J13" i="2"/>
  <c r="P19" i="2"/>
  <c r="P29" i="2"/>
  <c r="F7" i="2"/>
  <c r="H12" i="2"/>
  <c r="R30" i="2"/>
  <c r="P7" i="2"/>
  <c r="J15" i="2"/>
  <c r="L23" i="2"/>
  <c r="H31" i="2"/>
  <c r="T27" i="2"/>
  <c r="N12" i="2"/>
  <c r="H6" i="2"/>
  <c r="L14" i="2"/>
  <c r="J28" i="2"/>
  <c r="H4" i="2"/>
  <c r="T20" i="2"/>
  <c r="P2" i="2"/>
  <c r="L22" i="2"/>
  <c r="J7" i="2"/>
  <c r="R18" i="2"/>
  <c r="F21" i="2"/>
  <c r="R22" i="2"/>
  <c r="N27" i="2"/>
  <c r="F3" i="2"/>
  <c r="F5" i="2"/>
  <c r="D2" i="2"/>
  <c r="F4" i="2" s="1"/>
  <c r="N2" i="2"/>
  <c r="P12" i="2"/>
  <c r="F26" i="2"/>
  <c r="H3" i="2"/>
  <c r="L7" i="2"/>
  <c r="J10" i="2"/>
  <c r="P11" i="2"/>
  <c r="L15" i="2"/>
  <c r="H21" i="2"/>
  <c r="N22" i="2"/>
  <c r="T23" i="2"/>
  <c r="J29" i="2"/>
  <c r="P27" i="2"/>
  <c r="T31" i="2"/>
  <c r="L10" i="2"/>
  <c r="F19" i="2"/>
  <c r="J30" i="2"/>
  <c r="L2" i="2"/>
  <c r="T18" i="2"/>
  <c r="P14" i="2"/>
  <c r="R19" i="2"/>
  <c r="L26" i="2"/>
  <c r="P30" i="2"/>
  <c r="N6" i="2"/>
  <c r="F20" i="2"/>
  <c r="H28" i="2"/>
  <c r="H2" i="2"/>
  <c r="H11" i="2"/>
  <c r="N14" i="2"/>
  <c r="P20" i="2"/>
  <c r="R28" i="2"/>
  <c r="L5" i="2"/>
  <c r="H10" i="2"/>
  <c r="L11" i="2"/>
  <c r="L13" i="2"/>
  <c r="H19" i="2"/>
  <c r="N20" i="2"/>
  <c r="T21" i="2"/>
  <c r="J27" i="2"/>
  <c r="N31" i="2"/>
  <c r="T29" i="2"/>
  <c r="D26" i="2"/>
  <c r="D10" i="2"/>
  <c r="P18" i="2"/>
  <c r="L20" i="2"/>
  <c r="N26" i="2"/>
  <c r="J5" i="2"/>
  <c r="P3" i="2"/>
  <c r="N18" i="2"/>
  <c r="H15" i="2"/>
  <c r="P15" i="2"/>
  <c r="L19" i="2"/>
  <c r="R20" i="2"/>
  <c r="H27" i="2"/>
  <c r="L31" i="2"/>
  <c r="R29" i="2"/>
  <c r="L4" i="2"/>
  <c r="J12" i="2"/>
  <c r="R21" i="2"/>
  <c r="T28" i="2"/>
  <c r="P6" i="2"/>
  <c r="J14" i="2"/>
  <c r="J23" i="2"/>
  <c r="H26" i="2"/>
  <c r="N28" i="2"/>
  <c r="T30" i="2"/>
  <c r="F12" i="2"/>
  <c r="N23" i="2"/>
  <c r="P28" i="2"/>
  <c r="L6" i="2"/>
  <c r="N11" i="2"/>
  <c r="J19" i="2"/>
  <c r="F28" i="2"/>
  <c r="J3" i="2"/>
  <c r="N7" i="2"/>
  <c r="J18" i="2"/>
  <c r="H13" i="2"/>
  <c r="P13" i="2"/>
  <c r="J22" i="2"/>
  <c r="P23" i="2"/>
  <c r="F31" i="2"/>
  <c r="L29" i="2"/>
  <c r="E36" i="1"/>
  <c r="E15" i="1"/>
  <c r="E18" i="1"/>
  <c r="E28" i="1"/>
  <c r="E16" i="1"/>
  <c r="E13" i="1"/>
  <c r="E30" i="1"/>
  <c r="E27" i="1"/>
  <c r="E10" i="1"/>
  <c r="E9" i="1"/>
  <c r="E12" i="1"/>
  <c r="E29" i="1"/>
  <c r="E11" i="1"/>
  <c r="E20" i="1"/>
  <c r="E14" i="1"/>
  <c r="E19" i="1"/>
  <c r="E21" i="1"/>
  <c r="E17" i="1"/>
  <c r="E22" i="1"/>
  <c r="E23" i="1"/>
  <c r="E31" i="1"/>
  <c r="E35" i="1"/>
  <c r="E37" i="1" s="1"/>
  <c r="D40" i="1"/>
  <c r="D41" i="1" s="1"/>
  <c r="D38" i="1"/>
  <c r="C41" i="1"/>
  <c r="C42" i="1" s="1"/>
  <c r="F40" i="1"/>
  <c r="F38" i="1"/>
  <c r="E32" i="1" l="1"/>
  <c r="E24" i="1"/>
  <c r="D42" i="1"/>
  <c r="E40" i="1" s="1"/>
  <c r="F41" i="1"/>
  <c r="F42" i="1" s="1"/>
  <c r="C50" i="1" l="1"/>
  <c r="D50" i="1" s="1"/>
  <c r="C48" i="1"/>
  <c r="D48" i="1" s="1"/>
  <c r="C52" i="1"/>
  <c r="D52" i="1" s="1"/>
  <c r="C54" i="1"/>
  <c r="D54" i="1" s="1"/>
  <c r="C55" i="1"/>
  <c r="D55" i="1" s="1"/>
  <c r="C53" i="1"/>
  <c r="D53" i="1" s="1"/>
  <c r="E41" i="1"/>
  <c r="E42" i="1" s="1"/>
  <c r="C49" i="1"/>
  <c r="D49" i="1" s="1"/>
  <c r="C51" i="1"/>
  <c r="D51" i="1" s="1"/>
</calcChain>
</file>

<file path=xl/sharedStrings.xml><?xml version="1.0" encoding="utf-8"?>
<sst xmlns="http://schemas.openxmlformats.org/spreadsheetml/2006/main" count="143" uniqueCount="80">
  <si>
    <t xml:space="preserve">Kurs evra na dan racunanja (srednji kurs)   </t>
  </si>
  <si>
    <t>Nabavna cena vozila (€)</t>
  </si>
  <si>
    <t>Osnovna cena vozila</t>
  </si>
  <si>
    <t>1 voz (din)</t>
  </si>
  <si>
    <t>Ai</t>
  </si>
  <si>
    <t>Vozni park(din)</t>
  </si>
  <si>
    <t>Vozni park(€)</t>
  </si>
  <si>
    <t>Nabavna vrednost vozila</t>
  </si>
  <si>
    <t>R. Broj</t>
  </si>
  <si>
    <t>Naziv troska</t>
  </si>
  <si>
    <t>1 vozilo(din)</t>
  </si>
  <si>
    <t>%</t>
  </si>
  <si>
    <t>Tehnički pregled</t>
  </si>
  <si>
    <t>Administrativna taksa</t>
  </si>
  <si>
    <t>Komunalna taksa I ekološka taksa</t>
  </si>
  <si>
    <t>Obavezno osiguranje motornog vozila</t>
  </si>
  <si>
    <t>Kasko osiguranje motornog vozila</t>
  </si>
  <si>
    <t>Osiguranje tereta</t>
  </si>
  <si>
    <t>Bruto zarade (neto zarade i doprinosi)</t>
  </si>
  <si>
    <t>Naknada za prevoz</t>
  </si>
  <si>
    <t>Radna odeća, obuća</t>
  </si>
  <si>
    <t>Komunalne usluge(el energija, voda, grejanje), PTT</t>
  </si>
  <si>
    <t>Kancelarijski materijal, sitan inventar</t>
  </si>
  <si>
    <t>Ostali stalni troškovi (režijski troškovi)</t>
  </si>
  <si>
    <t>UKUPNI STALNI TROŠKOVI</t>
  </si>
  <si>
    <t>Ukupno stalni troškovi po vozilu mesečno</t>
  </si>
  <si>
    <t>Gorivo</t>
  </si>
  <si>
    <t>Održavanje vozila</t>
  </si>
  <si>
    <t>Ostali promenljivi troškovi</t>
  </si>
  <si>
    <t>UKUPNO PROMENLJIVI TROŠKOVI</t>
  </si>
  <si>
    <t>Ukupno promenljivi troškovi po vozilu mesečno</t>
  </si>
  <si>
    <t>UKUPNO STALNI TROŠKOVI</t>
  </si>
  <si>
    <t>UKUPNO UTROŠENO SREDSTAVA</t>
  </si>
  <si>
    <t>Ukupno utrošeno sredstava po vozilu mesečno</t>
  </si>
  <si>
    <t>DOBIT</t>
  </si>
  <si>
    <t>PRIHOD</t>
  </si>
  <si>
    <t>Prodajna cena po jedinici rada vozila</t>
  </si>
  <si>
    <t>Prodajna cena</t>
  </si>
  <si>
    <t>din</t>
  </si>
  <si>
    <t>Inventarski dan (ADi)</t>
  </si>
  <si>
    <t>Dan rada (ADr)</t>
  </si>
  <si>
    <t>Pređeni kilometar (AK)</t>
  </si>
  <si>
    <t>Pređeni kilometar sa teretom (AKt)</t>
  </si>
  <si>
    <t>Tona transportovanog tereta (Q)</t>
  </si>
  <si>
    <t>Ostvareni tonski kilometar (U)</t>
  </si>
  <si>
    <t>Čas rada vozila (AHr)</t>
  </si>
  <si>
    <t>Inventarski čas (Ahi)</t>
  </si>
  <si>
    <t>Troškovi posedovanja vozila</t>
  </si>
  <si>
    <t>(€)</t>
  </si>
  <si>
    <t>Di</t>
  </si>
  <si>
    <t>Troškovi posedovanja objekta i opreme</t>
  </si>
  <si>
    <t>gorivo</t>
  </si>
  <si>
    <t>Pneumatici</t>
  </si>
  <si>
    <t>Dnevnice i putni troškovi izvršnog osoblja</t>
  </si>
  <si>
    <t>Adi</t>
  </si>
  <si>
    <t>Adr</t>
  </si>
  <si>
    <t>Akt</t>
  </si>
  <si>
    <t>AK</t>
  </si>
  <si>
    <t>AQ</t>
  </si>
  <si>
    <t>AU</t>
  </si>
  <si>
    <t>Ahr</t>
  </si>
  <si>
    <t>Ahi</t>
  </si>
  <si>
    <t>Pokazatelji</t>
  </si>
  <si>
    <t>α</t>
  </si>
  <si>
    <t>β</t>
  </si>
  <si>
    <t>γ</t>
  </si>
  <si>
    <t>ρ</t>
  </si>
  <si>
    <t>q</t>
  </si>
  <si>
    <t>Kstλ</t>
  </si>
  <si>
    <t>Vs</t>
  </si>
  <si>
    <t>tdλ</t>
  </si>
  <si>
    <t>ε</t>
  </si>
  <si>
    <t>θp</t>
  </si>
  <si>
    <t>θs</t>
  </si>
  <si>
    <t>Druga osiguranja</t>
  </si>
  <si>
    <t>Obavezno osiguranje</t>
  </si>
  <si>
    <t>θak</t>
  </si>
  <si>
    <t>θakt</t>
  </si>
  <si>
    <t>θq</t>
  </si>
  <si>
    <t>θu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</si>
</sst>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Times New Roman"/>
      <family val="1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0" xfId="1"/>
    <xf numFmtId="0" fontId="1" fillId="0" borderId="0" xfId="1" applyBorder="1"/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1" fillId="0" borderId="13" xfId="1" applyBorder="1"/>
    <xf numFmtId="0" fontId="1" fillId="0" borderId="3" xfId="1" applyBorder="1"/>
    <xf numFmtId="0" fontId="1" fillId="0" borderId="13" xfId="1" applyFill="1" applyBorder="1"/>
    <xf numFmtId="0" fontId="1" fillId="0" borderId="3" xfId="1" applyFill="1" applyBorder="1"/>
    <xf numFmtId="0" fontId="1" fillId="0" borderId="15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5" xfId="1" applyBorder="1" applyAlignment="1">
      <alignment horizontal="left" indent="1"/>
    </xf>
    <xf numFmtId="0" fontId="2" fillId="3" borderId="15" xfId="1" applyFont="1" applyFill="1" applyBorder="1"/>
    <xf numFmtId="0" fontId="2" fillId="4" borderId="15" xfId="1" applyFont="1" applyFill="1" applyBorder="1"/>
    <xf numFmtId="0" fontId="2" fillId="3" borderId="15" xfId="1" applyFont="1" applyFill="1" applyBorder="1" applyAlignment="1">
      <alignment horizontal="center"/>
    </xf>
    <xf numFmtId="0" fontId="2" fillId="3" borderId="16" xfId="1" applyFont="1" applyFill="1" applyBorder="1"/>
    <xf numFmtId="0" fontId="2" fillId="3" borderId="17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1" fillId="4" borderId="4" xfId="1" applyFill="1" applyBorder="1"/>
    <xf numFmtId="0" fontId="1" fillId="2" borderId="20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21" xfId="1" applyFill="1" applyBorder="1" applyAlignment="1">
      <alignment horizontal="center"/>
    </xf>
    <xf numFmtId="0" fontId="1" fillId="4" borderId="22" xfId="1" applyFill="1" applyBorder="1"/>
    <xf numFmtId="0" fontId="1" fillId="4" borderId="23" xfId="1" applyFill="1" applyBorder="1"/>
    <xf numFmtId="0" fontId="2" fillId="4" borderId="23" xfId="1" applyFont="1" applyFill="1" applyBorder="1"/>
    <xf numFmtId="0" fontId="1" fillId="4" borderId="24" xfId="1" applyFill="1" applyBorder="1"/>
    <xf numFmtId="0" fontId="2" fillId="4" borderId="22" xfId="1" applyFont="1" applyFill="1" applyBorder="1"/>
    <xf numFmtId="0" fontId="1" fillId="0" borderId="4" xfId="1" applyFill="1" applyBorder="1" applyAlignment="1">
      <alignment horizontal="center"/>
    </xf>
    <xf numFmtId="4" fontId="1" fillId="0" borderId="27" xfId="1" applyNumberFormat="1" applyBorder="1"/>
    <xf numFmtId="4" fontId="1" fillId="0" borderId="28" xfId="1" applyNumberFormat="1" applyBorder="1"/>
    <xf numFmtId="4" fontId="1" fillId="0" borderId="28" xfId="1" applyNumberFormat="1" applyBorder="1" applyAlignment="1"/>
    <xf numFmtId="4" fontId="1" fillId="0" borderId="29" xfId="1" applyNumberFormat="1" applyBorder="1"/>
    <xf numFmtId="4" fontId="1" fillId="0" borderId="30" xfId="1" applyNumberFormat="1" applyBorder="1"/>
    <xf numFmtId="4" fontId="1" fillId="0" borderId="2" xfId="1" applyNumberFormat="1" applyBorder="1"/>
    <xf numFmtId="4" fontId="1" fillId="0" borderId="12" xfId="1" applyNumberFormat="1" applyBorder="1"/>
    <xf numFmtId="4" fontId="1" fillId="0" borderId="31" xfId="1" applyNumberFormat="1" applyBorder="1"/>
    <xf numFmtId="4" fontId="1" fillId="0" borderId="32" xfId="1" applyNumberFormat="1" applyBorder="1"/>
    <xf numFmtId="4" fontId="1" fillId="0" borderId="33" xfId="1" applyNumberFormat="1" applyBorder="1"/>
    <xf numFmtId="4" fontId="1" fillId="0" borderId="1" xfId="1" applyNumberFormat="1" applyBorder="1"/>
    <xf numFmtId="4" fontId="1" fillId="0" borderId="14" xfId="1" applyNumberFormat="1" applyBorder="1"/>
    <xf numFmtId="4" fontId="1" fillId="0" borderId="11" xfId="1" applyNumberFormat="1" applyBorder="1"/>
    <xf numFmtId="4" fontId="1" fillId="0" borderId="8" xfId="1" applyNumberFormat="1" applyBorder="1"/>
    <xf numFmtId="4" fontId="1" fillId="0" borderId="10" xfId="1" applyNumberFormat="1" applyBorder="1"/>
    <xf numFmtId="4" fontId="1" fillId="0" borderId="34" xfId="1" applyNumberFormat="1" applyBorder="1"/>
    <xf numFmtId="2" fontId="1" fillId="0" borderId="4" xfId="1" applyNumberFormat="1" applyBorder="1"/>
    <xf numFmtId="0" fontId="2" fillId="6" borderId="19" xfId="1" applyFont="1" applyFill="1" applyBorder="1" applyAlignment="1">
      <alignment horizontal="center"/>
    </xf>
    <xf numFmtId="0" fontId="1" fillId="4" borderId="26" xfId="1" applyFill="1" applyBorder="1"/>
    <xf numFmtId="0" fontId="1" fillId="4" borderId="38" xfId="1" applyFill="1" applyBorder="1"/>
    <xf numFmtId="4" fontId="1" fillId="0" borderId="0" xfId="1" applyNumberFormat="1" applyBorder="1"/>
    <xf numFmtId="4" fontId="1" fillId="0" borderId="25" xfId="1" applyNumberFormat="1" applyBorder="1"/>
    <xf numFmtId="0" fontId="1" fillId="2" borderId="4" xfId="1" applyFill="1" applyBorder="1" applyAlignment="1">
      <alignment horizontal="center"/>
    </xf>
    <xf numFmtId="4" fontId="1" fillId="0" borderId="13" xfId="1" applyNumberFormat="1" applyBorder="1"/>
    <xf numFmtId="4" fontId="1" fillId="0" borderId="3" xfId="1" applyNumberFormat="1" applyBorder="1"/>
    <xf numFmtId="4" fontId="1" fillId="0" borderId="35" xfId="1" applyNumberFormat="1" applyBorder="1"/>
    <xf numFmtId="4" fontId="1" fillId="0" borderId="7" xfId="1" applyNumberFormat="1" applyBorder="1"/>
    <xf numFmtId="4" fontId="1" fillId="0" borderId="9" xfId="1" applyNumberFormat="1" applyBorder="1"/>
    <xf numFmtId="4" fontId="1" fillId="0" borderId="41" xfId="1" applyNumberFormat="1" applyBorder="1"/>
    <xf numFmtId="4" fontId="1" fillId="0" borderId="42" xfId="1" applyNumberFormat="1" applyBorder="1"/>
    <xf numFmtId="4" fontId="1" fillId="0" borderId="43" xfId="1" applyNumberFormat="1" applyBorder="1"/>
    <xf numFmtId="0" fontId="1" fillId="2" borderId="6" xfId="1" applyFill="1" applyBorder="1" applyAlignment="1">
      <alignment horizontal="center"/>
    </xf>
    <xf numFmtId="0" fontId="2" fillId="4" borderId="38" xfId="1" applyFont="1" applyFill="1" applyBorder="1"/>
    <xf numFmtId="4" fontId="1" fillId="0" borderId="44" xfId="1" applyNumberFormat="1" applyBorder="1"/>
    <xf numFmtId="4" fontId="1" fillId="0" borderId="36" xfId="1" applyNumberFormat="1" applyBorder="1"/>
    <xf numFmtId="4" fontId="1" fillId="0" borderId="37" xfId="1" applyNumberFormat="1" applyBorder="1"/>
    <xf numFmtId="0" fontId="0" fillId="0" borderId="45" xfId="0" applyBorder="1"/>
    <xf numFmtId="0" fontId="3" fillId="4" borderId="23" xfId="1" applyFont="1" applyFill="1" applyBorder="1"/>
    <xf numFmtId="4" fontId="3" fillId="0" borderId="22" xfId="1" applyNumberFormat="1" applyFont="1" applyBorder="1"/>
    <xf numFmtId="4" fontId="3" fillId="0" borderId="23" xfId="1" applyNumberFormat="1" applyFont="1" applyBorder="1"/>
    <xf numFmtId="4" fontId="3" fillId="0" borderId="26" xfId="1" applyNumberFormat="1" applyFont="1" applyBorder="1"/>
    <xf numFmtId="4" fontId="3" fillId="0" borderId="15" xfId="1" applyNumberFormat="1" applyFont="1" applyBorder="1"/>
    <xf numFmtId="4" fontId="3" fillId="0" borderId="39" xfId="1" applyNumberFormat="1" applyFont="1" applyBorder="1"/>
    <xf numFmtId="2" fontId="1" fillId="0" borderId="15" xfId="1" applyNumberFormat="1" applyBorder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164" fontId="0" fillId="6" borderId="0" xfId="0" applyNumberFormat="1" applyFill="1" applyBorder="1"/>
    <xf numFmtId="164" fontId="2" fillId="2" borderId="15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7" borderId="1" xfId="0" applyNumberFormat="1" applyFill="1" applyBorder="1"/>
    <xf numFmtId="164" fontId="4" fillId="0" borderId="15" xfId="0" applyNumberFormat="1" applyFont="1" applyBorder="1"/>
    <xf numFmtId="0" fontId="5" fillId="0" borderId="0" xfId="0" applyFont="1"/>
    <xf numFmtId="2" fontId="5" fillId="0" borderId="0" xfId="0" applyNumberFormat="1" applyFont="1"/>
    <xf numFmtId="0" fontId="6" fillId="5" borderId="15" xfId="1" applyFont="1" applyFill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5" fillId="0" borderId="43" xfId="0" applyFont="1" applyBorder="1"/>
    <xf numFmtId="1" fontId="8" fillId="0" borderId="0" xfId="0" applyNumberFormat="1" applyFont="1"/>
    <xf numFmtId="0" fontId="8" fillId="0" borderId="0" xfId="0" applyFont="1"/>
    <xf numFmtId="4" fontId="8" fillId="0" borderId="0" xfId="0" applyNumberFormat="1" applyFont="1"/>
    <xf numFmtId="2" fontId="1" fillId="0" borderId="22" xfId="1" applyNumberFormat="1" applyBorder="1" applyAlignment="1">
      <alignment horizontal="right"/>
    </xf>
    <xf numFmtId="2" fontId="3" fillId="0" borderId="15" xfId="1" applyNumberFormat="1" applyFont="1" applyBorder="1" applyAlignment="1">
      <alignment horizontal="right"/>
    </xf>
    <xf numFmtId="164" fontId="1" fillId="0" borderId="40" xfId="1" applyNumberFormat="1" applyBorder="1" applyAlignment="1">
      <alignment horizontal="right"/>
    </xf>
    <xf numFmtId="164" fontId="1" fillId="0" borderId="22" xfId="1" applyNumberFormat="1" applyBorder="1" applyAlignment="1">
      <alignment horizontal="right"/>
    </xf>
    <xf numFmtId="2" fontId="1" fillId="0" borderId="15" xfId="1" applyNumberFormat="1" applyBorder="1" applyAlignment="1">
      <alignment horizontal="right"/>
    </xf>
    <xf numFmtId="2" fontId="1" fillId="0" borderId="40" xfId="1" applyNumberFormat="1" applyBorder="1" applyAlignment="1">
      <alignment horizontal="right"/>
    </xf>
    <xf numFmtId="2" fontId="1" fillId="0" borderId="1" xfId="1" applyNumberFormat="1" applyBorder="1" applyAlignment="1">
      <alignment horizontal="right"/>
    </xf>
    <xf numFmtId="2" fontId="1" fillId="0" borderId="14" xfId="1" applyNumberFormat="1" applyBorder="1" applyAlignment="1">
      <alignment horizontal="right"/>
    </xf>
    <xf numFmtId="2" fontId="1" fillId="0" borderId="13" xfId="1" applyNumberFormat="1" applyBorder="1" applyAlignment="1">
      <alignment horizontal="right"/>
    </xf>
    <xf numFmtId="2" fontId="1" fillId="0" borderId="42" xfId="1" applyNumberFormat="1" applyBorder="1" applyAlignment="1">
      <alignment horizontal="right"/>
    </xf>
    <xf numFmtId="2" fontId="1" fillId="0" borderId="36" xfId="1" applyNumberFormat="1" applyBorder="1" applyAlignment="1">
      <alignment horizontal="right"/>
    </xf>
    <xf numFmtId="164" fontId="0" fillId="7" borderId="32" xfId="0" applyNumberFormat="1" applyFill="1" applyBorder="1"/>
    <xf numFmtId="164" fontId="0" fillId="0" borderId="22" xfId="0" applyNumberFormat="1" applyBorder="1"/>
    <xf numFmtId="164" fontId="0" fillId="0" borderId="24" xfId="0" applyNumberFormat="1" applyBorder="1"/>
    <xf numFmtId="164" fontId="2" fillId="2" borderId="28" xfId="0" applyNumberFormat="1" applyFont="1" applyFill="1" applyBorder="1" applyAlignment="1">
      <alignment horizontal="center"/>
    </xf>
    <xf numFmtId="164" fontId="0" fillId="0" borderId="11" xfId="0" applyNumberFormat="1" applyBorder="1"/>
    <xf numFmtId="164" fontId="2" fillId="7" borderId="28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Promena </a:t>
            </a:r>
            <a:r>
              <a:rPr lang="el-GR"/>
              <a:t>θ</a:t>
            </a:r>
            <a:r>
              <a:rPr lang="en-US"/>
              <a:t>ak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'Promena troskova'!$E$1</c:f>
              <c:strCache>
                <c:ptCount val="1"/>
                <c:pt idx="0">
                  <c:v>α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('Promena troskova'!$E$2:$E$7,'Promena troskova'!$G$2:$G$7,'Promena troskova'!$I$2:$I$7,'Promena troskova'!$K$2:$K$7,'Promena troskova'!$M$2:$M$7,'Promena troskova'!$O$2:$O$7)</c:f>
              <c:numCache>
                <c:formatCode>0.0000</c:formatCode>
                <c:ptCount val="3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  <c:pt idx="6">
                  <c:v>0.32</c:v>
                </c:pt>
                <c:pt idx="7">
                  <c:v>0.34</c:v>
                </c:pt>
                <c:pt idx="8">
                  <c:v>0.36309999999999998</c:v>
                </c:pt>
                <c:pt idx="9">
                  <c:v>0.38</c:v>
                </c:pt>
                <c:pt idx="10">
                  <c:v>0.4</c:v>
                </c:pt>
                <c:pt idx="11">
                  <c:v>0.42</c:v>
                </c:pt>
                <c:pt idx="12">
                  <c:v>0.61</c:v>
                </c:pt>
                <c:pt idx="13">
                  <c:v>0.63</c:v>
                </c:pt>
                <c:pt idx="14">
                  <c:v>0.6583</c:v>
                </c:pt>
                <c:pt idx="15">
                  <c:v>0.67</c:v>
                </c:pt>
                <c:pt idx="16">
                  <c:v>0.69</c:v>
                </c:pt>
                <c:pt idx="17">
                  <c:v>0.71</c:v>
                </c:pt>
                <c:pt idx="18">
                  <c:v>23</c:v>
                </c:pt>
                <c:pt idx="19">
                  <c:v>25</c:v>
                </c:pt>
                <c:pt idx="20">
                  <c:v>27.11</c:v>
                </c:pt>
                <c:pt idx="21">
                  <c:v>29</c:v>
                </c:pt>
                <c:pt idx="22">
                  <c:v>31</c:v>
                </c:pt>
                <c:pt idx="23">
                  <c:v>33</c:v>
                </c:pt>
                <c:pt idx="24">
                  <c:v>42</c:v>
                </c:pt>
                <c:pt idx="25">
                  <c:v>44</c:v>
                </c:pt>
                <c:pt idx="26">
                  <c:v>46.66</c:v>
                </c:pt>
                <c:pt idx="27">
                  <c:v>48</c:v>
                </c:pt>
                <c:pt idx="28">
                  <c:v>50</c:v>
                </c:pt>
                <c:pt idx="29">
                  <c:v>52</c:v>
                </c:pt>
                <c:pt idx="30">
                  <c:v>1</c:v>
                </c:pt>
                <c:pt idx="31">
                  <c:v>1.2</c:v>
                </c:pt>
                <c:pt idx="32">
                  <c:v>1.4291</c:v>
                </c:pt>
                <c:pt idx="33">
                  <c:v>1.6</c:v>
                </c:pt>
                <c:pt idx="34">
                  <c:v>1.8</c:v>
                </c:pt>
                <c:pt idx="35">
                  <c:v>2</c:v>
                </c:pt>
              </c:numCache>
            </c:numRef>
          </c:cat>
          <c:val>
            <c:numRef>
              <c:f>'Promena troskova'!$F$2:$F$7</c:f>
              <c:numCache>
                <c:formatCode>0.0000</c:formatCode>
                <c:ptCount val="6"/>
                <c:pt idx="0">
                  <c:v>97.797996068125002</c:v>
                </c:pt>
                <c:pt idx="1">
                  <c:v>95.686436837714638</c:v>
                </c:pt>
                <c:pt idx="2">
                  <c:v>93.644276364031143</c:v>
                </c:pt>
                <c:pt idx="3">
                  <c:v>91.859235732595849</c:v>
                </c:pt>
                <c:pt idx="4">
                  <c:v>90.119598866632771</c:v>
                </c:pt>
                <c:pt idx="5">
                  <c:v>88.482293581020443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'Promena troskova'!$G$1</c:f>
              <c:strCache>
                <c:ptCount val="1"/>
                <c:pt idx="0">
                  <c:v>β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('Promena troskova'!$E$2:$E$7,'Promena troskova'!$G$2:$G$7,'Promena troskova'!$I$2:$I$7,'Promena troskova'!$K$2:$K$7,'Promena troskova'!$M$2:$M$7,'Promena troskova'!$O$2:$O$7)</c:f>
              <c:numCache>
                <c:formatCode>0.0000</c:formatCode>
                <c:ptCount val="3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  <c:pt idx="6">
                  <c:v>0.32</c:v>
                </c:pt>
                <c:pt idx="7">
                  <c:v>0.34</c:v>
                </c:pt>
                <c:pt idx="8">
                  <c:v>0.36309999999999998</c:v>
                </c:pt>
                <c:pt idx="9">
                  <c:v>0.38</c:v>
                </c:pt>
                <c:pt idx="10">
                  <c:v>0.4</c:v>
                </c:pt>
                <c:pt idx="11">
                  <c:v>0.42</c:v>
                </c:pt>
                <c:pt idx="12">
                  <c:v>0.61</c:v>
                </c:pt>
                <c:pt idx="13">
                  <c:v>0.63</c:v>
                </c:pt>
                <c:pt idx="14">
                  <c:v>0.6583</c:v>
                </c:pt>
                <c:pt idx="15">
                  <c:v>0.67</c:v>
                </c:pt>
                <c:pt idx="16">
                  <c:v>0.69</c:v>
                </c:pt>
                <c:pt idx="17">
                  <c:v>0.71</c:v>
                </c:pt>
                <c:pt idx="18">
                  <c:v>23</c:v>
                </c:pt>
                <c:pt idx="19">
                  <c:v>25</c:v>
                </c:pt>
                <c:pt idx="20">
                  <c:v>27.11</c:v>
                </c:pt>
                <c:pt idx="21">
                  <c:v>29</c:v>
                </c:pt>
                <c:pt idx="22">
                  <c:v>31</c:v>
                </c:pt>
                <c:pt idx="23">
                  <c:v>33</c:v>
                </c:pt>
                <c:pt idx="24">
                  <c:v>42</c:v>
                </c:pt>
                <c:pt idx="25">
                  <c:v>44</c:v>
                </c:pt>
                <c:pt idx="26">
                  <c:v>46.66</c:v>
                </c:pt>
                <c:pt idx="27">
                  <c:v>48</c:v>
                </c:pt>
                <c:pt idx="28">
                  <c:v>50</c:v>
                </c:pt>
                <c:pt idx="29">
                  <c:v>52</c:v>
                </c:pt>
                <c:pt idx="30">
                  <c:v>1</c:v>
                </c:pt>
                <c:pt idx="31">
                  <c:v>1.2</c:v>
                </c:pt>
                <c:pt idx="32">
                  <c:v>1.4291</c:v>
                </c:pt>
                <c:pt idx="33">
                  <c:v>1.6</c:v>
                </c:pt>
                <c:pt idx="34">
                  <c:v>1.8</c:v>
                </c:pt>
                <c:pt idx="35">
                  <c:v>2</c:v>
                </c:pt>
              </c:numCache>
            </c:numRef>
          </c:cat>
          <c:val>
            <c:numRef>
              <c:f>'Promena troskova'!$H$2:$H$7</c:f>
              <c:numCache>
                <c:formatCode>0.0000</c:formatCode>
                <c:ptCount val="6"/>
                <c:pt idx="0">
                  <c:v>90.32952897808623</c:v>
                </c:pt>
                <c:pt idx="1">
                  <c:v>91.8676948184319</c:v>
                </c:pt>
                <c:pt idx="2">
                  <c:v>93.644276364031143</c:v>
                </c:pt>
                <c:pt idx="3">
                  <c:v>94.944026499123225</c:v>
                </c:pt>
                <c:pt idx="4">
                  <c:v>96.482192339468881</c:v>
                </c:pt>
                <c:pt idx="5">
                  <c:v>98.020358179814536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'Promena troskova'!$I$1</c:f>
              <c:strCache>
                <c:ptCount val="1"/>
                <c:pt idx="0">
                  <c:v>ρ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'Promena troskova'!$J$2:$J$7</c:f>
              <c:numCache>
                <c:formatCode>0.0000</c:formatCode>
                <c:ptCount val="6"/>
                <c:pt idx="0">
                  <c:v>98.331202041337519</c:v>
                </c:pt>
                <c:pt idx="1">
                  <c:v>96.303266076717719</c:v>
                </c:pt>
                <c:pt idx="2">
                  <c:v>93.644276364031143</c:v>
                </c:pt>
                <c:pt idx="3">
                  <c:v>92.610606559051831</c:v>
                </c:pt>
                <c:pt idx="4">
                  <c:v>90.924827214030444</c:v>
                </c:pt>
                <c:pt idx="5">
                  <c:v>89.334021353235613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'Promena troskova'!$K$1</c:f>
              <c:strCache>
                <c:ptCount val="1"/>
                <c:pt idx="0">
                  <c:v>Kstλ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'Promena troskova'!$L$2:$L$7</c:f>
              <c:numCache>
                <c:formatCode>0.0000</c:formatCode>
                <c:ptCount val="6"/>
                <c:pt idx="0">
                  <c:v>98.634424077829578</c:v>
                </c:pt>
                <c:pt idx="1">
                  <c:v>96.001180194207663</c:v>
                </c:pt>
                <c:pt idx="2">
                  <c:v>93.644276364031143</c:v>
                </c:pt>
                <c:pt idx="3">
                  <c:v>91.824310585703927</c:v>
                </c:pt>
                <c:pt idx="4">
                  <c:v>90.140088969371789</c:v>
                </c:pt>
                <c:pt idx="5">
                  <c:v>88.660015427746558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'Promena troskova'!$M$1</c:f>
              <c:strCache>
                <c:ptCount val="1"/>
                <c:pt idx="0">
                  <c:v>Vs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'Promena troskova'!$N$2:$N$7</c:f>
              <c:numCache>
                <c:formatCode>0.0000</c:formatCode>
                <c:ptCount val="6"/>
                <c:pt idx="0">
                  <c:v>97.113497285831514</c:v>
                </c:pt>
                <c:pt idx="1">
                  <c:v>95.534548317715959</c:v>
                </c:pt>
                <c:pt idx="2">
                  <c:v>93.644276364031143</c:v>
                </c:pt>
                <c:pt idx="3">
                  <c:v>92.77138762351376</c:v>
                </c:pt>
                <c:pt idx="4">
                  <c:v>91.555596918064793</c:v>
                </c:pt>
                <c:pt idx="5">
                  <c:v>90.433328574573437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'Promena troskova'!$O$1</c:f>
              <c:strCache>
                <c:ptCount val="1"/>
                <c:pt idx="0">
                  <c:v>tdλ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'Promena troskova'!$P$2:$P$7</c:f>
              <c:numCache>
                <c:formatCode>0.0000</c:formatCode>
                <c:ptCount val="6"/>
                <c:pt idx="0">
                  <c:v>85.2594261108745</c:v>
                </c:pt>
                <c:pt idx="1">
                  <c:v>89.167536226538274</c:v>
                </c:pt>
                <c:pt idx="2">
                  <c:v>93.644276364031143</c:v>
                </c:pt>
                <c:pt idx="3">
                  <c:v>96.983756457865837</c:v>
                </c:pt>
                <c:pt idx="4">
                  <c:v>100.8918665735296</c:v>
                </c:pt>
                <c:pt idx="5">
                  <c:v>104.79997668919339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78240"/>
        <c:axId val="70379776"/>
      </c:lineChart>
      <c:catAx>
        <c:axId val="70378240"/>
        <c:scaling>
          <c:orientation val="minMax"/>
        </c:scaling>
        <c:delete val="0"/>
        <c:axPos val="b"/>
        <c:minorGridlines/>
        <c:numFmt formatCode="0.0000" sourceLinked="1"/>
        <c:majorTickMark val="out"/>
        <c:minorTickMark val="in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70379776"/>
        <c:crosses val="autoZero"/>
        <c:auto val="1"/>
        <c:lblAlgn val="ctr"/>
        <c:lblOffset val="100"/>
        <c:noMultiLvlLbl val="0"/>
      </c:catAx>
      <c:valAx>
        <c:axId val="70379776"/>
        <c:scaling>
          <c:orientation val="minMax"/>
          <c:max val="110"/>
          <c:min val="80"/>
        </c:scaling>
        <c:delete val="0"/>
        <c:axPos val="l"/>
        <c:majorGridlines/>
        <c:title>
          <c:layout/>
          <c:overlay val="0"/>
        </c:title>
        <c:numFmt formatCode="0.0000" sourceLinked="1"/>
        <c:majorTickMark val="none"/>
        <c:minorTickMark val="none"/>
        <c:tickLblPos val="nextTo"/>
        <c:crossAx val="70378240"/>
        <c:crosses val="autoZero"/>
        <c:crossBetween val="between"/>
        <c:majorUnit val="5"/>
      </c:valAx>
      <c:spPr>
        <a:gradFill flip="none" rotWithShape="1">
          <a:gsLst>
            <a:gs pos="1000">
              <a:schemeClr val="accent1">
                <a:tint val="66000"/>
                <a:satMod val="160000"/>
                <a:alpha val="63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  <a:tileRect/>
        </a:gradFill>
        <a:ln cmpd="sng">
          <a:gradFill>
            <a:gsLst>
              <a:gs pos="700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effectLst>
          <a:glow>
            <a:schemeClr val="accent1">
              <a:alpha val="40000"/>
            </a:schemeClr>
          </a:glow>
          <a:outerShdw blurRad="1257300" sx="1000" sy="1000" algn="ctr" rotWithShape="0">
            <a:srgbClr val="000000"/>
          </a:outerShdw>
        </a:effectLst>
      </c:spPr>
    </c:plotArea>
    <c:legend>
      <c:legendPos val="r"/>
      <c:layout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Promena </a:t>
            </a:r>
            <a:r>
              <a:rPr lang="el-GR"/>
              <a:t>θ</a:t>
            </a:r>
            <a:r>
              <a:rPr lang="en-US"/>
              <a:t>akt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'Promena troskova'!$E$9</c:f>
              <c:strCache>
                <c:ptCount val="1"/>
                <c:pt idx="0">
                  <c:v>α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troskova'!$F$10:$F$15</c:f>
              <c:numCache>
                <c:formatCode>0.0000</c:formatCode>
                <c:ptCount val="6"/>
                <c:pt idx="0">
                  <c:v>269.34176829557975</c:v>
                </c:pt>
                <c:pt idx="1">
                  <c:v>263.5264027477682</c:v>
                </c:pt>
                <c:pt idx="2">
                  <c:v>257.90216569548647</c:v>
                </c:pt>
                <c:pt idx="3">
                  <c:v>252.98605269235981</c:v>
                </c:pt>
                <c:pt idx="4">
                  <c:v>248.19498448535597</c:v>
                </c:pt>
                <c:pt idx="5">
                  <c:v>243.68574381994063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'Promena troskova'!$G$9</c:f>
              <c:strCache>
                <c:ptCount val="1"/>
                <c:pt idx="0">
                  <c:v>β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troskova'!$H$10:$H$15</c:f>
              <c:numCache>
                <c:formatCode>0.0000</c:formatCode>
                <c:ptCount val="6"/>
                <c:pt idx="0">
                  <c:v>282.27977805651949</c:v>
                </c:pt>
                <c:pt idx="1">
                  <c:v>270.19910240715262</c:v>
                </c:pt>
                <c:pt idx="2">
                  <c:v>257.90216569548647</c:v>
                </c:pt>
                <c:pt idx="3">
                  <c:v>249.85270131348216</c:v>
                </c:pt>
                <c:pt idx="4">
                  <c:v>241.20548084867218</c:v>
                </c:pt>
                <c:pt idx="5">
                  <c:v>233.38180519003464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'Promena troskova'!$I$9</c:f>
              <c:strCache>
                <c:ptCount val="1"/>
                <c:pt idx="0">
                  <c:v>ρ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troskova'!$J$10:$J$15</c:f>
              <c:numCache>
                <c:formatCode>0.0000</c:formatCode>
                <c:ptCount val="6"/>
                <c:pt idx="0">
                  <c:v>270.81025073351009</c:v>
                </c:pt>
                <c:pt idx="1">
                  <c:v>265.22518886454895</c:v>
                </c:pt>
                <c:pt idx="2">
                  <c:v>257.90216569548647</c:v>
                </c:pt>
                <c:pt idx="3">
                  <c:v>255.05537471509729</c:v>
                </c:pt>
                <c:pt idx="4">
                  <c:v>250.41263347295637</c:v>
                </c:pt>
                <c:pt idx="5">
                  <c:v>246.03145511769657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'Promena troskova'!$K$9</c:f>
              <c:strCache>
                <c:ptCount val="1"/>
                <c:pt idx="0">
                  <c:v>Kstλ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troskova'!$L$10:$L$15</c:f>
              <c:numCache>
                <c:formatCode>0.0000</c:formatCode>
                <c:ptCount val="6"/>
                <c:pt idx="0">
                  <c:v>271.64534309509662</c:v>
                </c:pt>
                <c:pt idx="1">
                  <c:v>264.39322554174515</c:v>
                </c:pt>
                <c:pt idx="2">
                  <c:v>257.90216569548647</c:v>
                </c:pt>
                <c:pt idx="3">
                  <c:v>252.88986666401524</c:v>
                </c:pt>
                <c:pt idx="4">
                  <c:v>248.25141550364032</c:v>
                </c:pt>
                <c:pt idx="5">
                  <c:v>244.17520084755324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'Promena troskova'!$M$9</c:f>
              <c:strCache>
                <c:ptCount val="1"/>
                <c:pt idx="0">
                  <c:v>Vs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troskova'!$N$10:$N$15</c:f>
              <c:numCache>
                <c:formatCode>0.0000</c:formatCode>
                <c:ptCount val="6"/>
                <c:pt idx="0">
                  <c:v>267.45661604470257</c:v>
                </c:pt>
                <c:pt idx="1">
                  <c:v>263.10809230987599</c:v>
                </c:pt>
                <c:pt idx="2">
                  <c:v>257.90216569548647</c:v>
                </c:pt>
                <c:pt idx="3">
                  <c:v>255.4981757739294</c:v>
                </c:pt>
                <c:pt idx="4">
                  <c:v>252.14981249811291</c:v>
                </c:pt>
                <c:pt idx="5">
                  <c:v>249.05901562812846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'Promena troskova'!$O$9</c:f>
              <c:strCache>
                <c:ptCount val="1"/>
                <c:pt idx="0">
                  <c:v>tdλ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troskova'!$P$10:$P$15</c:f>
              <c:numCache>
                <c:formatCode>0.0000</c:formatCode>
                <c:ptCount val="6"/>
                <c:pt idx="0">
                  <c:v>234.80976621006477</c:v>
                </c:pt>
                <c:pt idx="1">
                  <c:v>245.57294471643701</c:v>
                </c:pt>
                <c:pt idx="2">
                  <c:v>257.90216569548647</c:v>
                </c:pt>
                <c:pt idx="3">
                  <c:v>267.0993017291816</c:v>
                </c:pt>
                <c:pt idx="4">
                  <c:v>277.86248023555385</c:v>
                </c:pt>
                <c:pt idx="5">
                  <c:v>288.62565874192615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7808"/>
        <c:axId val="70569344"/>
      </c:lineChart>
      <c:catAx>
        <c:axId val="70567808"/>
        <c:scaling>
          <c:orientation val="minMax"/>
        </c:scaling>
        <c:delete val="0"/>
        <c:axPos val="b"/>
        <c:minorGridlines/>
        <c:numFmt formatCode="0.0000" sourceLinked="1"/>
        <c:majorTickMark val="none"/>
        <c:minorTickMark val="none"/>
        <c:tickLblPos val="nextTo"/>
        <c:crossAx val="70569344"/>
        <c:crosses val="autoZero"/>
        <c:auto val="1"/>
        <c:lblAlgn val="ctr"/>
        <c:lblOffset val="100"/>
        <c:noMultiLvlLbl val="0"/>
      </c:catAx>
      <c:valAx>
        <c:axId val="70569344"/>
        <c:scaling>
          <c:orientation val="minMax"/>
          <c:max val="300"/>
          <c:min val="220"/>
        </c:scaling>
        <c:delete val="0"/>
        <c:axPos val="l"/>
        <c:majorGridlines/>
        <c:title>
          <c:layout/>
          <c:overlay val="0"/>
        </c:title>
        <c:numFmt formatCode="0.0000" sourceLinked="1"/>
        <c:majorTickMark val="none"/>
        <c:minorTickMark val="none"/>
        <c:tickLblPos val="nextTo"/>
        <c:crossAx val="70567808"/>
        <c:crosses val="autoZero"/>
        <c:crossBetween val="between"/>
      </c:valAx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  <a:tileRect/>
        </a:gradFill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Promena </a:t>
            </a:r>
            <a:r>
              <a:rPr lang="el-GR"/>
              <a:t>θ</a:t>
            </a:r>
            <a:r>
              <a:rPr lang="en-US"/>
              <a:t>q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'Promena troskova'!$E$17</c:f>
              <c:strCache>
                <c:ptCount val="1"/>
                <c:pt idx="0">
                  <c:v>α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troskova'!$F$18:$F$23</c:f>
              <c:numCache>
                <c:formatCode>0.0000</c:formatCode>
                <c:ptCount val="6"/>
                <c:pt idx="0">
                  <c:v>533.44939644163992</c:v>
                </c:pt>
                <c:pt idx="1">
                  <c:v>521.93167581034459</c:v>
                </c:pt>
                <c:pt idx="2">
                  <c:v>510.79249795475152</c:v>
                </c:pt>
                <c:pt idx="3">
                  <c:v>501.05580716612178</c:v>
                </c:pt>
                <c:pt idx="4">
                  <c:v>491.56677596420229</c:v>
                </c:pt>
                <c:pt idx="5">
                  <c:v>482.63592306827809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'Promena troskova'!$G$17</c:f>
              <c:strCache>
                <c:ptCount val="1"/>
                <c:pt idx="0">
                  <c:v>β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troskova'!$H$18:$H$23</c:f>
              <c:numCache>
                <c:formatCode>0.0000</c:formatCode>
                <c:ptCount val="6"/>
                <c:pt idx="0">
                  <c:v>559.07399058388683</c:v>
                </c:pt>
                <c:pt idx="1">
                  <c:v>535.14740402234861</c:v>
                </c:pt>
                <c:pt idx="2">
                  <c:v>510.79249795475152</c:v>
                </c:pt>
                <c:pt idx="3">
                  <c:v>494.84999507660001</c:v>
                </c:pt>
                <c:pt idx="4">
                  <c:v>469.60062663045932</c:v>
                </c:pt>
                <c:pt idx="5">
                  <c:v>462.22828307289882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'Promena troskova'!$I$17</c:f>
              <c:strCache>
                <c:ptCount val="1"/>
                <c:pt idx="0">
                  <c:v>γ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troskova'!$J$18:$J$23</c:f>
              <c:numCache>
                <c:formatCode>0.0000</c:formatCode>
                <c:ptCount val="6"/>
                <c:pt idx="0">
                  <c:v>546.22872750036231</c:v>
                </c:pt>
                <c:pt idx="1">
                  <c:v>529.67634181853316</c:v>
                </c:pt>
                <c:pt idx="2">
                  <c:v>510.79249795475152</c:v>
                </c:pt>
                <c:pt idx="3">
                  <c:v>499.40912228604554</c:v>
                </c:pt>
                <c:pt idx="4">
                  <c:v>485.53664666698882</c:v>
                </c:pt>
                <c:pt idx="5">
                  <c:v>472.41403459490795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'Promena troskova'!$K$17</c:f>
              <c:strCache>
                <c:ptCount val="1"/>
                <c:pt idx="0">
                  <c:v>ρ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troskova'!$L$18:$L$23</c:f>
              <c:numCache>
                <c:formatCode>0.0000</c:formatCode>
                <c:ptCount val="6"/>
                <c:pt idx="0">
                  <c:v>536.35782418070278</c:v>
                </c:pt>
                <c:pt idx="1">
                  <c:v>525.29623539727652</c:v>
                </c:pt>
                <c:pt idx="2">
                  <c:v>510.79249795475152</c:v>
                </c:pt>
                <c:pt idx="3">
                  <c:v>505.15423791103802</c:v>
                </c:pt>
                <c:pt idx="4">
                  <c:v>495.95897818905951</c:v>
                </c:pt>
                <c:pt idx="5">
                  <c:v>487.2817612683192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'Promena troskova'!$M$17</c:f>
              <c:strCache>
                <c:ptCount val="1"/>
                <c:pt idx="0">
                  <c:v>q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troskova'!$N$18:$N$23</c:f>
              <c:numCache>
                <c:formatCode>0.0000</c:formatCode>
                <c:ptCount val="6"/>
                <c:pt idx="0">
                  <c:v>638.49062244343929</c:v>
                </c:pt>
                <c:pt idx="1">
                  <c:v>567.54721994972385</c:v>
                </c:pt>
                <c:pt idx="2">
                  <c:v>510.79249795475152</c:v>
                </c:pt>
                <c:pt idx="3">
                  <c:v>464.35681632250134</c:v>
                </c:pt>
                <c:pt idx="4">
                  <c:v>425.66041496229292</c:v>
                </c:pt>
                <c:pt idx="5">
                  <c:v>392.91730611903961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'Promena troskova'!$Q$17</c:f>
              <c:strCache>
                <c:ptCount val="1"/>
                <c:pt idx="0">
                  <c:v>Vs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troskova'!$R$18:$R$23</c:f>
              <c:numCache>
                <c:formatCode>0.0000</c:formatCode>
                <c:ptCount val="6"/>
                <c:pt idx="0">
                  <c:v>529.71572625452131</c:v>
                </c:pt>
                <c:pt idx="1">
                  <c:v>521.10318399479388</c:v>
                </c:pt>
                <c:pt idx="2">
                  <c:v>510.79249795475152</c:v>
                </c:pt>
                <c:pt idx="3">
                  <c:v>506.03123504027081</c:v>
                </c:pt>
                <c:pt idx="4">
                  <c:v>499.39957750028054</c:v>
                </c:pt>
                <c:pt idx="5">
                  <c:v>493.27804746336665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'Promena troskova'!$O$17</c:f>
              <c:strCache>
                <c:ptCount val="1"/>
                <c:pt idx="0">
                  <c:v>Kstλ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troskova'!$P$18:$P$23</c:f>
              <c:numCache>
                <c:formatCode>0.0000</c:formatCode>
                <c:ptCount val="6"/>
                <c:pt idx="0">
                  <c:v>456.44673372203562</c:v>
                </c:pt>
                <c:pt idx="1">
                  <c:v>482.89236108588761</c:v>
                </c:pt>
                <c:pt idx="2">
                  <c:v>510.79249795475152</c:v>
                </c:pt>
                <c:pt idx="3">
                  <c:v>535.78361581359161</c:v>
                </c:pt>
                <c:pt idx="4">
                  <c:v>562.22924317744378</c:v>
                </c:pt>
                <c:pt idx="5">
                  <c:v>588.67487054129572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'Promena troskova'!$S$17</c:f>
              <c:strCache>
                <c:ptCount val="1"/>
                <c:pt idx="0">
                  <c:v>tdλ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troskova'!$T$18:$T$23</c:f>
              <c:numCache>
                <c:formatCode>0.0000</c:formatCode>
                <c:ptCount val="6"/>
                <c:pt idx="0">
                  <c:v>465.05645543211978</c:v>
                </c:pt>
                <c:pt idx="1">
                  <c:v>486.37365073514081</c:v>
                </c:pt>
                <c:pt idx="2">
                  <c:v>510.79249795475152</c:v>
                </c:pt>
                <c:pt idx="3">
                  <c:v>529.008041341183</c:v>
                </c:pt>
                <c:pt idx="4">
                  <c:v>550.3252366442041</c:v>
                </c:pt>
                <c:pt idx="5">
                  <c:v>571.64243194722519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18688"/>
        <c:axId val="71220224"/>
      </c:lineChart>
      <c:catAx>
        <c:axId val="71218688"/>
        <c:scaling>
          <c:orientation val="minMax"/>
        </c:scaling>
        <c:delete val="0"/>
        <c:axPos val="b"/>
        <c:minorGridlines/>
        <c:numFmt formatCode="0.0000" sourceLinked="1"/>
        <c:majorTickMark val="none"/>
        <c:minorTickMark val="none"/>
        <c:tickLblPos val="nextTo"/>
        <c:crossAx val="71220224"/>
        <c:crosses val="autoZero"/>
        <c:auto val="1"/>
        <c:lblAlgn val="ctr"/>
        <c:lblOffset val="100"/>
        <c:noMultiLvlLbl val="0"/>
      </c:catAx>
      <c:valAx>
        <c:axId val="71220224"/>
        <c:scaling>
          <c:orientation val="minMax"/>
          <c:max val="650"/>
          <c:min val="370"/>
        </c:scaling>
        <c:delete val="0"/>
        <c:axPos val="l"/>
        <c:majorGridlines/>
        <c:title>
          <c:layout/>
          <c:overlay val="0"/>
        </c:title>
        <c:numFmt formatCode="0.0000" sourceLinked="1"/>
        <c:majorTickMark val="none"/>
        <c:minorTickMark val="none"/>
        <c:tickLblPos val="nextTo"/>
        <c:crossAx val="71218688"/>
        <c:crosses val="autoZero"/>
        <c:crossBetween val="between"/>
        <c:majorUnit val="25"/>
      </c:valAx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  <a:tileRect/>
        </a:gradFill>
      </c:spPr>
    </c:plotArea>
    <c:legend>
      <c:legendPos val="r"/>
      <c:layout>
        <c:manualLayout>
          <c:xMode val="edge"/>
          <c:yMode val="edge"/>
          <c:x val="0.90571667617253748"/>
          <c:y val="0.30262439851268591"/>
          <c:w val="8.059055716622264E-2"/>
          <c:h val="0.502303149606299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Promena </a:t>
            </a:r>
            <a:r>
              <a:rPr lang="el-GR"/>
              <a:t>θ</a:t>
            </a:r>
            <a:r>
              <a:rPr lang="en-US"/>
              <a:t>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'Promena troskova'!$E$25</c:f>
              <c:strCache>
                <c:ptCount val="1"/>
                <c:pt idx="0">
                  <c:v>α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troskova'!$F$26:$F$31</c:f>
              <c:numCache>
                <c:formatCode>0.0000</c:formatCode>
                <c:ptCount val="6"/>
                <c:pt idx="0">
                  <c:v>19.657113435672144</c:v>
                </c:pt>
                <c:pt idx="1">
                  <c:v>19.232696157332374</c:v>
                </c:pt>
                <c:pt idx="2">
                  <c:v>18.822227827724891</c:v>
                </c:pt>
                <c:pt idx="3">
                  <c:v>18.46343984034154</c:v>
                </c:pt>
                <c:pt idx="4">
                  <c:v>18.113777878072977</c:v>
                </c:pt>
                <c:pt idx="5">
                  <c:v>17.784684266526099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'Promena troskova'!$G$25</c:f>
              <c:strCache>
                <c:ptCount val="1"/>
                <c:pt idx="0">
                  <c:v>β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troskova'!$H$26:$H$31</c:f>
              <c:numCache>
                <c:formatCode>0.0000</c:formatCode>
                <c:ptCount val="6"/>
                <c:pt idx="0">
                  <c:v>20.601355864583233</c:v>
                </c:pt>
                <c:pt idx="1">
                  <c:v>19.719683433597474</c:v>
                </c:pt>
                <c:pt idx="2">
                  <c:v>18.822227827724891</c:v>
                </c:pt>
                <c:pt idx="3">
                  <c:v>18.234761444568832</c:v>
                </c:pt>
                <c:pt idx="4">
                  <c:v>17.603669599231658</c:v>
                </c:pt>
                <c:pt idx="5">
                  <c:v>17.032681739164694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'Promena troskova'!$I$25</c:f>
              <c:strCache>
                <c:ptCount val="1"/>
                <c:pt idx="0">
                  <c:v>ρ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troskova'!$J$26:$J$31</c:f>
              <c:numCache>
                <c:formatCode>0.0000</c:formatCode>
                <c:ptCount val="6"/>
                <c:pt idx="0">
                  <c:v>19.764286289119113</c:v>
                </c:pt>
                <c:pt idx="1">
                  <c:v>19.35667704455911</c:v>
                </c:pt>
                <c:pt idx="2">
                  <c:v>18.822227827724891</c:v>
                </c:pt>
                <c:pt idx="3">
                  <c:v>18.614463196255823</c:v>
                </c:pt>
                <c:pt idx="4">
                  <c:v>18.275626439421714</c:v>
                </c:pt>
                <c:pt idx="5">
                  <c:v>17.955879077338821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'Promena troskova'!$K$25</c:f>
              <c:strCache>
                <c:ptCount val="1"/>
                <c:pt idx="0">
                  <c:v>q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troskova'!$L$26:$L$31</c:f>
              <c:numCache>
                <c:formatCode>0.0000</c:formatCode>
                <c:ptCount val="6"/>
                <c:pt idx="0">
                  <c:v>23.527784784656113</c:v>
                </c:pt>
                <c:pt idx="1">
                  <c:v>20.913586475249879</c:v>
                </c:pt>
                <c:pt idx="2">
                  <c:v>18.822227827724891</c:v>
                </c:pt>
                <c:pt idx="3">
                  <c:v>17.111116207022629</c:v>
                </c:pt>
                <c:pt idx="4">
                  <c:v>15.685189856437411</c:v>
                </c:pt>
                <c:pt idx="5">
                  <c:v>14.478636790557609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'Promena troskova'!$M$25</c:f>
              <c:strCache>
                <c:ptCount val="1"/>
                <c:pt idx="0">
                  <c:v>Kstλ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troskova'!$N$26:$N$31</c:f>
              <c:numCache>
                <c:formatCode>0.0000</c:formatCode>
                <c:ptCount val="6"/>
                <c:pt idx="0">
                  <c:v>19.825233038614552</c:v>
                </c:pt>
                <c:pt idx="1">
                  <c:v>19.29595865871735</c:v>
                </c:pt>
                <c:pt idx="2">
                  <c:v>18.822227827724891</c:v>
                </c:pt>
                <c:pt idx="3">
                  <c:v>18.45641998715627</c:v>
                </c:pt>
                <c:pt idx="4">
                  <c:v>18.117896329268742</c:v>
                </c:pt>
                <c:pt idx="5">
                  <c:v>17.820405842034244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'Promena troskova'!$O$25</c:f>
              <c:strCache>
                <c:ptCount val="1"/>
                <c:pt idx="0">
                  <c:v>Vs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troskova'!$P$26:$P$31</c:f>
              <c:numCache>
                <c:formatCode>0.0000</c:formatCode>
                <c:ptCount val="6"/>
                <c:pt idx="0">
                  <c:v>19.519531166596302</c:v>
                </c:pt>
                <c:pt idx="1">
                  <c:v>19.202167005537582</c:v>
                </c:pt>
                <c:pt idx="2">
                  <c:v>18.822227827724891</c:v>
                </c:pt>
                <c:pt idx="3">
                  <c:v>18.646779723684819</c:v>
                </c:pt>
                <c:pt idx="4">
                  <c:v>18.402409319669601</c:v>
                </c:pt>
                <c:pt idx="5">
                  <c:v>18.176836639040172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'Promena troskova'!$Q$25</c:f>
              <c:strCache>
                <c:ptCount val="1"/>
                <c:pt idx="0">
                  <c:v>tdλ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troskova'!$R$26:$R$31</c:f>
              <c:numCache>
                <c:formatCode>0.0000</c:formatCode>
                <c:ptCount val="6"/>
                <c:pt idx="0">
                  <c:v>17.136897256609601</c:v>
                </c:pt>
                <c:pt idx="1">
                  <c:v>17.922416049951611</c:v>
                </c:pt>
                <c:pt idx="2">
                  <c:v>18.822227827724891</c:v>
                </c:pt>
                <c:pt idx="3">
                  <c:v>19.493453636635643</c:v>
                </c:pt>
                <c:pt idx="4">
                  <c:v>20.278972429977653</c:v>
                </c:pt>
                <c:pt idx="5">
                  <c:v>21.064491223319671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'Promena troskova'!$S$25</c:f>
              <c:strCache>
                <c:ptCount val="1"/>
                <c:pt idx="0">
                  <c:v>ε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troskova'!$T$26:$T$31</c:f>
              <c:numCache>
                <c:formatCode>0.0000</c:formatCode>
                <c:ptCount val="6"/>
                <c:pt idx="0">
                  <c:v>20.148606694959881</c:v>
                </c:pt>
                <c:pt idx="1">
                  <c:v>19.538042855718668</c:v>
                </c:pt>
                <c:pt idx="2">
                  <c:v>18.819480859273675</c:v>
                </c:pt>
                <c:pt idx="3">
                  <c:v>18.421583263963317</c:v>
                </c:pt>
                <c:pt idx="4">
                  <c:v>17.909872617742117</c:v>
                </c:pt>
                <c:pt idx="5">
                  <c:v>17.425822006451785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47968"/>
        <c:axId val="70949504"/>
      </c:lineChart>
      <c:catAx>
        <c:axId val="70947968"/>
        <c:scaling>
          <c:orientation val="minMax"/>
        </c:scaling>
        <c:delete val="0"/>
        <c:axPos val="b"/>
        <c:minorGridlines/>
        <c:numFmt formatCode="0.0000" sourceLinked="1"/>
        <c:majorTickMark val="none"/>
        <c:minorTickMark val="none"/>
        <c:tickLblPos val="nextTo"/>
        <c:crossAx val="70949504"/>
        <c:crosses val="autoZero"/>
        <c:auto val="1"/>
        <c:lblAlgn val="ctr"/>
        <c:lblOffset val="100"/>
        <c:noMultiLvlLbl val="0"/>
      </c:catAx>
      <c:valAx>
        <c:axId val="70949504"/>
        <c:scaling>
          <c:orientation val="minMax"/>
          <c:max val="24"/>
          <c:min val="14"/>
        </c:scaling>
        <c:delete val="0"/>
        <c:axPos val="l"/>
        <c:majorGridlines/>
        <c:title>
          <c:layout/>
          <c:overlay val="0"/>
        </c:title>
        <c:numFmt formatCode="0.0000" sourceLinked="1"/>
        <c:majorTickMark val="none"/>
        <c:minorTickMark val="none"/>
        <c:tickLblPos val="nextTo"/>
        <c:crossAx val="7094796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</a:gra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14286</xdr:rowOff>
    </xdr:from>
    <xdr:to>
      <xdr:col>14</xdr:col>
      <xdr:colOff>9525</xdr:colOff>
      <xdr:row>19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133349</xdr:colOff>
      <xdr:row>1</xdr:row>
      <xdr:rowOff>4761</xdr:rowOff>
    </xdr:from>
    <xdr:to>
      <xdr:col>28</xdr:col>
      <xdr:colOff>314324</xdr:colOff>
      <xdr:row>19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542923</xdr:colOff>
      <xdr:row>20</xdr:row>
      <xdr:rowOff>47625</xdr:rowOff>
    </xdr:from>
    <xdr:to>
      <xdr:col>14</xdr:col>
      <xdr:colOff>28574</xdr:colOff>
      <xdr:row>39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104774</xdr:colOff>
      <xdr:row>20</xdr:row>
      <xdr:rowOff>52386</xdr:rowOff>
    </xdr:from>
    <xdr:to>
      <xdr:col>28</xdr:col>
      <xdr:colOff>257175</xdr:colOff>
      <xdr:row>40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B40" sqref="B40"/>
    </sheetView>
  </sheetViews>
  <sheetFormatPr defaultRowHeight="15" x14ac:dyDescent="0.25"/>
  <cols>
    <col min="2" max="2" width="43.85546875" bestFit="1" customWidth="1"/>
    <col min="3" max="3" width="14.7109375" bestFit="1" customWidth="1"/>
    <col min="4" max="5" width="14.85546875" bestFit="1" customWidth="1"/>
    <col min="6" max="6" width="12.85546875" bestFit="1" customWidth="1"/>
    <col min="7" max="7" width="10.5703125" bestFit="1" customWidth="1"/>
    <col min="9" max="9" width="11.7109375" bestFit="1" customWidth="1"/>
    <col min="10" max="10" width="12.7109375" bestFit="1" customWidth="1"/>
    <col min="11" max="11" width="10.140625" bestFit="1" customWidth="1"/>
  </cols>
  <sheetData>
    <row r="1" spans="1:12" ht="15.75" thickBot="1" x14ac:dyDescent="0.3">
      <c r="A1" s="1"/>
      <c r="B1" s="12" t="s">
        <v>0</v>
      </c>
      <c r="C1" s="83">
        <v>115.55</v>
      </c>
      <c r="D1" s="1"/>
      <c r="E1" s="1"/>
      <c r="F1" s="1"/>
    </row>
    <row r="2" spans="1:12" ht="15.75" thickBot="1" x14ac:dyDescent="0.3">
      <c r="A2" s="1"/>
      <c r="B2" s="13" t="s">
        <v>1</v>
      </c>
      <c r="C2" s="83">
        <v>71000</v>
      </c>
      <c r="D2" s="1"/>
      <c r="E2" s="1"/>
      <c r="F2" s="1"/>
    </row>
    <row r="3" spans="1:12" ht="15.75" thickBot="1" x14ac:dyDescent="0.3">
      <c r="A3" s="1"/>
      <c r="B3" s="1"/>
      <c r="C3" s="1"/>
      <c r="D3" s="1"/>
      <c r="E3" s="1"/>
      <c r="F3" s="1"/>
    </row>
    <row r="4" spans="1:12" ht="15.75" thickBot="1" x14ac:dyDescent="0.3">
      <c r="A4" s="1"/>
      <c r="B4" s="15" t="s">
        <v>2</v>
      </c>
      <c r="C4" s="16" t="s">
        <v>3</v>
      </c>
      <c r="D4" s="17" t="s">
        <v>4</v>
      </c>
      <c r="E4" s="16" t="s">
        <v>5</v>
      </c>
      <c r="F4" s="18" t="s">
        <v>6</v>
      </c>
    </row>
    <row r="5" spans="1:12" ht="15.75" thickBot="1" x14ac:dyDescent="0.3">
      <c r="A5" s="1"/>
      <c r="B5" s="19" t="s">
        <v>7</v>
      </c>
      <c r="C5" s="9">
        <f>C2*C1</f>
        <v>8204050</v>
      </c>
      <c r="D5" s="84">
        <v>17</v>
      </c>
      <c r="E5" s="9">
        <f>C5*D5</f>
        <v>139468850</v>
      </c>
      <c r="F5" s="10">
        <f>E5/C1</f>
        <v>1207000</v>
      </c>
    </row>
    <row r="6" spans="1:12" ht="15.75" thickBot="1" x14ac:dyDescent="0.3">
      <c r="A6" s="1"/>
      <c r="B6" s="2"/>
      <c r="C6" s="2"/>
      <c r="D6" s="2"/>
      <c r="E6" s="2"/>
      <c r="F6" s="2"/>
    </row>
    <row r="7" spans="1:12" ht="15.75" thickBot="1" x14ac:dyDescent="0.3">
      <c r="A7" s="1"/>
      <c r="B7" s="1"/>
      <c r="C7" s="1"/>
      <c r="D7" s="1"/>
      <c r="E7" s="1"/>
      <c r="F7" s="1"/>
      <c r="I7" s="65" t="s">
        <v>49</v>
      </c>
      <c r="J7" s="85">
        <v>219</v>
      </c>
    </row>
    <row r="8" spans="1:12" ht="15.75" thickBot="1" x14ac:dyDescent="0.3">
      <c r="A8" s="4" t="s">
        <v>8</v>
      </c>
      <c r="B8" s="12" t="s">
        <v>9</v>
      </c>
      <c r="C8" s="14" t="s">
        <v>10</v>
      </c>
      <c r="D8" s="14" t="s">
        <v>5</v>
      </c>
      <c r="E8" s="14" t="s">
        <v>11</v>
      </c>
      <c r="F8" s="3" t="s">
        <v>6</v>
      </c>
    </row>
    <row r="9" spans="1:12" ht="15.75" thickBot="1" x14ac:dyDescent="0.3">
      <c r="A9" s="20">
        <v>1</v>
      </c>
      <c r="B9" s="23" t="s">
        <v>47</v>
      </c>
      <c r="C9" s="67">
        <f>(9940*C1)*(J7/365)</f>
        <v>689140.2</v>
      </c>
      <c r="D9" s="29">
        <f>C9*D5</f>
        <v>11715383.399999999</v>
      </c>
      <c r="E9" s="89">
        <f>(D9/D37)*100</f>
        <v>13.904011194074126</v>
      </c>
      <c r="F9" s="33">
        <f>D9/C1</f>
        <v>101387.99999999999</v>
      </c>
    </row>
    <row r="10" spans="1:12" ht="15.75" thickBot="1" x14ac:dyDescent="0.3">
      <c r="A10" s="21">
        <v>2</v>
      </c>
      <c r="B10" s="24" t="s">
        <v>12</v>
      </c>
      <c r="C10" s="68">
        <f>(2*2500*J7)/365</f>
        <v>3000</v>
      </c>
      <c r="D10" s="30">
        <f>C10*D5</f>
        <v>51000</v>
      </c>
      <c r="E10" s="89">
        <f>(D10/D37)*100</f>
        <v>6.0527645292238627E-2</v>
      </c>
      <c r="F10" s="34">
        <f>D10/C1</f>
        <v>441.36737343141499</v>
      </c>
    </row>
    <row r="11" spans="1:12" ht="15.75" thickBot="1" x14ac:dyDescent="0.3">
      <c r="A11" s="21">
        <v>3</v>
      </c>
      <c r="B11" s="24" t="s">
        <v>13</v>
      </c>
      <c r="C11" s="68">
        <f>(2620*J7)/365</f>
        <v>1572</v>
      </c>
      <c r="D11" s="30">
        <f>C11*D5</f>
        <v>26724</v>
      </c>
      <c r="E11" s="89">
        <f>(D11/D37)*100</f>
        <v>3.1716486133133041E-2</v>
      </c>
      <c r="F11" s="34">
        <f>D11/C1</f>
        <v>231.27650367806146</v>
      </c>
    </row>
    <row r="12" spans="1:12" ht="15.75" thickBot="1" x14ac:dyDescent="0.3">
      <c r="A12" s="21">
        <v>4</v>
      </c>
      <c r="B12" s="24" t="s">
        <v>14</v>
      </c>
      <c r="C12" s="68">
        <f>(5700*J7)/365</f>
        <v>3420</v>
      </c>
      <c r="D12" s="30">
        <f>C12*D5</f>
        <v>58140</v>
      </c>
      <c r="E12" s="89">
        <f>(D12/D37)*100</f>
        <v>6.900151563315203E-2</v>
      </c>
      <c r="F12" s="34">
        <f>D12/C1</f>
        <v>503.1588057118131</v>
      </c>
    </row>
    <row r="13" spans="1:12" ht="15.75" thickBot="1" x14ac:dyDescent="0.3">
      <c r="A13" s="21">
        <v>5</v>
      </c>
      <c r="B13" s="24" t="s">
        <v>15</v>
      </c>
      <c r="C13" s="68">
        <f>(J13*J7)/365</f>
        <v>25455</v>
      </c>
      <c r="D13" s="30">
        <f>C13*D5</f>
        <v>432735</v>
      </c>
      <c r="E13" s="89">
        <f>(D13/D37)*100</f>
        <v>0.51357707030464483</v>
      </c>
      <c r="F13" s="34">
        <f>D13/C1</f>
        <v>3745.0021635655562</v>
      </c>
      <c r="G13" s="107" t="s">
        <v>75</v>
      </c>
      <c r="H13" s="108"/>
      <c r="I13" s="108"/>
      <c r="J13" s="81">
        <v>42425</v>
      </c>
      <c r="K13" s="81"/>
      <c r="L13" s="81"/>
    </row>
    <row r="14" spans="1:12" ht="15.75" thickBot="1" x14ac:dyDescent="0.3">
      <c r="A14" s="21">
        <v>6</v>
      </c>
      <c r="B14" s="24" t="s">
        <v>16</v>
      </c>
      <c r="C14" s="68">
        <f>(K14*J7)/365</f>
        <v>172285.05000000005</v>
      </c>
      <c r="D14" s="30">
        <f>C14*D5</f>
        <v>2928845.8500000006</v>
      </c>
      <c r="E14" s="89">
        <f>(D14/D37)*100</f>
        <v>3.4760027985185329</v>
      </c>
      <c r="F14" s="34">
        <f>D14/C1</f>
        <v>25347.000000000007</v>
      </c>
      <c r="G14" s="81"/>
      <c r="H14" s="81"/>
      <c r="I14" s="81"/>
      <c r="J14" s="87">
        <f>C2*0.035</f>
        <v>2485.0000000000005</v>
      </c>
      <c r="K14" s="87">
        <f>J14*C1</f>
        <v>287141.75000000006</v>
      </c>
      <c r="L14" s="81"/>
    </row>
    <row r="15" spans="1:12" ht="15.75" thickBot="1" x14ac:dyDescent="0.3">
      <c r="A15" s="21">
        <v>7</v>
      </c>
      <c r="B15" s="24" t="s">
        <v>17</v>
      </c>
      <c r="C15" s="68">
        <f>D15/D5</f>
        <v>22800</v>
      </c>
      <c r="D15" s="30">
        <f>(38000*D5*J7)/365</f>
        <v>387600</v>
      </c>
      <c r="E15" s="89">
        <f>(D15/D37)*100</f>
        <v>0.46001010422101352</v>
      </c>
      <c r="F15" s="34">
        <f>D15/C1</f>
        <v>3354.392038078754</v>
      </c>
      <c r="G15" s="81"/>
      <c r="H15" s="81"/>
      <c r="I15" s="81"/>
      <c r="J15" s="87"/>
      <c r="K15" s="81"/>
      <c r="L15" s="81"/>
    </row>
    <row r="16" spans="1:12" ht="15.75" thickBot="1" x14ac:dyDescent="0.3">
      <c r="A16" s="21">
        <v>8</v>
      </c>
      <c r="B16" s="24" t="s">
        <v>74</v>
      </c>
      <c r="C16" s="68">
        <f>D16/D5</f>
        <v>5880</v>
      </c>
      <c r="D16" s="30">
        <f>(J16*J7)/365</f>
        <v>99960</v>
      </c>
      <c r="E16" s="89">
        <f>(D16/D37)*100</f>
        <v>0.11863418477278771</v>
      </c>
      <c r="F16" s="34">
        <f>D16/C1</f>
        <v>865.08005192557334</v>
      </c>
      <c r="G16" s="81"/>
      <c r="H16" s="81"/>
      <c r="I16" s="81"/>
      <c r="J16" s="87">
        <f>3500*2.8*D5</f>
        <v>166600</v>
      </c>
      <c r="K16" s="81"/>
      <c r="L16" s="81"/>
    </row>
    <row r="17" spans="1:12" ht="15.75" thickBot="1" x14ac:dyDescent="0.3">
      <c r="A17" s="21">
        <v>9</v>
      </c>
      <c r="B17" s="24" t="s">
        <v>18</v>
      </c>
      <c r="C17" s="68">
        <f>D17/D5</f>
        <v>1808063.9999999998</v>
      </c>
      <c r="D17" s="30">
        <f>I17</f>
        <v>30737087.999999996</v>
      </c>
      <c r="E17" s="89">
        <f>(D17/D37)*100</f>
        <v>36.47928548588871</v>
      </c>
      <c r="F17" s="34">
        <f>D17/C1</f>
        <v>266006.81955863262</v>
      </c>
      <c r="G17" s="81"/>
      <c r="H17" s="81"/>
      <c r="I17" s="87">
        <f>K18*K17*L17*J17</f>
        <v>30737087.999999996</v>
      </c>
      <c r="J17" s="86">
        <f>D5*2.4</f>
        <v>40.799999999999997</v>
      </c>
      <c r="K17" s="87">
        <v>60000</v>
      </c>
      <c r="L17" s="87">
        <v>1.72</v>
      </c>
    </row>
    <row r="18" spans="1:12" ht="15.75" thickBot="1" x14ac:dyDescent="0.3">
      <c r="A18" s="21">
        <v>10</v>
      </c>
      <c r="B18" s="24" t="s">
        <v>19</v>
      </c>
      <c r="C18" s="68">
        <f>D18/D5</f>
        <v>57378</v>
      </c>
      <c r="D18" s="30">
        <f>I18*K18</f>
        <v>975426</v>
      </c>
      <c r="E18" s="89">
        <f>(D18/D37)*100</f>
        <v>1.1576517438593561</v>
      </c>
      <c r="F18" s="34">
        <f>D18/C1</f>
        <v>8441.592384249243</v>
      </c>
      <c r="G18" s="81"/>
      <c r="H18" s="81"/>
      <c r="I18" s="87">
        <f>J17*J18</f>
        <v>133620</v>
      </c>
      <c r="J18" s="87">
        <v>3275</v>
      </c>
      <c r="K18" s="87">
        <f>J7/30</f>
        <v>7.3</v>
      </c>
      <c r="L18" s="81"/>
    </row>
    <row r="19" spans="1:12" ht="15.75" thickBot="1" x14ac:dyDescent="0.3">
      <c r="A19" s="21">
        <v>11</v>
      </c>
      <c r="B19" s="24" t="s">
        <v>20</v>
      </c>
      <c r="C19" s="68">
        <f>D19/D5</f>
        <v>43200</v>
      </c>
      <c r="D19" s="30">
        <f>(I19*J7)/365</f>
        <v>734400</v>
      </c>
      <c r="E19" s="89">
        <f>(D19/D37)*100</f>
        <v>0.87159809220823614</v>
      </c>
      <c r="F19" s="34">
        <f>D19/C1</f>
        <v>6355.6901774123753</v>
      </c>
      <c r="G19" s="81"/>
      <c r="H19" s="81"/>
      <c r="I19" s="87">
        <f>J19*J17</f>
        <v>1224000</v>
      </c>
      <c r="J19" s="87">
        <v>30000</v>
      </c>
      <c r="K19" s="81"/>
      <c r="L19" s="81"/>
    </row>
    <row r="20" spans="1:12" ht="15.75" thickBot="1" x14ac:dyDescent="0.3">
      <c r="A20" s="21">
        <v>12</v>
      </c>
      <c r="B20" s="66" t="s">
        <v>50</v>
      </c>
      <c r="C20" s="68">
        <f>D20/D5</f>
        <v>26345.399999999998</v>
      </c>
      <c r="D20" s="30">
        <f>(J20*J7)/365</f>
        <v>447871.8</v>
      </c>
      <c r="E20" s="89">
        <f>(D20/D37)*100</f>
        <v>0.53154167542738118</v>
      </c>
      <c r="F20" s="34">
        <f>D20/C1</f>
        <v>3876</v>
      </c>
      <c r="G20" s="81"/>
      <c r="H20" s="81"/>
      <c r="I20" s="81"/>
      <c r="J20" s="87">
        <f>K20*C1</f>
        <v>746453</v>
      </c>
      <c r="K20" s="87">
        <f>L20*0.04</f>
        <v>6460</v>
      </c>
      <c r="L20" s="87">
        <f>(950000*D5)/100</f>
        <v>161500</v>
      </c>
    </row>
    <row r="21" spans="1:12" ht="15.75" thickBot="1" x14ac:dyDescent="0.3">
      <c r="A21" s="21">
        <v>13</v>
      </c>
      <c r="B21" s="24" t="s">
        <v>21</v>
      </c>
      <c r="C21" s="68">
        <f>D21/D5</f>
        <v>21170</v>
      </c>
      <c r="D21" s="30">
        <f>J21*K18</f>
        <v>359890</v>
      </c>
      <c r="E21" s="89">
        <f>(D21/D37)*100</f>
        <v>0.42712341694556394</v>
      </c>
      <c r="F21" s="34">
        <f>D21/C1</f>
        <v>3114.5824318476853</v>
      </c>
      <c r="G21" s="81"/>
      <c r="H21" s="81"/>
      <c r="I21" s="81"/>
      <c r="J21" s="87">
        <f>(290000*D5)/100</f>
        <v>49300</v>
      </c>
      <c r="K21" s="87"/>
      <c r="L21" s="81"/>
    </row>
    <row r="22" spans="1:12" ht="15.75" thickBot="1" x14ac:dyDescent="0.3">
      <c r="A22" s="21">
        <v>14</v>
      </c>
      <c r="B22" s="24" t="s">
        <v>22</v>
      </c>
      <c r="C22" s="68">
        <f>D22/D5</f>
        <v>2920</v>
      </c>
      <c r="D22" s="31">
        <f>J22*K18</f>
        <v>49640</v>
      </c>
      <c r="E22" s="89">
        <f>(D22/D37)*100</f>
        <v>5.8913574751112266E-2</v>
      </c>
      <c r="F22" s="34">
        <f>D22/C1</f>
        <v>429.59757680657725</v>
      </c>
      <c r="G22" s="81"/>
      <c r="H22" s="81"/>
      <c r="I22" s="81"/>
      <c r="J22" s="87">
        <f>(40000*D5)/100</f>
        <v>6800</v>
      </c>
      <c r="K22" s="81"/>
      <c r="L22" s="81"/>
    </row>
    <row r="23" spans="1:12" ht="15.75" thickBot="1" x14ac:dyDescent="0.3">
      <c r="A23" s="21">
        <v>15</v>
      </c>
      <c r="B23" s="47" t="s">
        <v>23</v>
      </c>
      <c r="C23" s="69">
        <f>K23</f>
        <v>250663.44782608695</v>
      </c>
      <c r="D23" s="32">
        <f>C23*D5</f>
        <v>4261278.6130434778</v>
      </c>
      <c r="E23" s="89">
        <f>(D23/D37)*100</f>
        <v>5.057356085915651</v>
      </c>
      <c r="F23" s="35">
        <f>D23/C1</f>
        <v>36878.222527420839</v>
      </c>
      <c r="G23" s="81"/>
      <c r="H23" s="81"/>
      <c r="I23" s="81"/>
      <c r="J23" s="88">
        <f>SUM(C9:C22)</f>
        <v>2882629.65</v>
      </c>
      <c r="K23" s="87">
        <f>(J23*0.08)/0.92</f>
        <v>250663.44782608695</v>
      </c>
      <c r="L23" s="81"/>
    </row>
    <row r="24" spans="1:12" ht="15.75" thickBot="1" x14ac:dyDescent="0.3">
      <c r="A24" s="21">
        <v>16</v>
      </c>
      <c r="B24" s="13" t="s">
        <v>24</v>
      </c>
      <c r="C24" s="70">
        <f>SUM(C9:C23)</f>
        <v>3133293.0978260869</v>
      </c>
      <c r="D24" s="52">
        <f>SUM(D9:D23)</f>
        <v>53265982.663043477</v>
      </c>
      <c r="E24" s="90">
        <f>SUM(E9:E23)</f>
        <v>63.216951073945637</v>
      </c>
      <c r="F24" s="53">
        <f>SUM(F9:F23)</f>
        <v>460977.78159276053</v>
      </c>
      <c r="G24" s="87"/>
      <c r="H24" s="87"/>
      <c r="I24" s="87" t="s">
        <v>51</v>
      </c>
      <c r="J24" s="87">
        <f>(154-0.2*154)*0.32*K24</f>
        <v>12878125.568</v>
      </c>
      <c r="K24" s="81">
        <v>326657</v>
      </c>
      <c r="L24" s="81" t="s">
        <v>57</v>
      </c>
    </row>
    <row r="25" spans="1:12" ht="15.75" thickBot="1" x14ac:dyDescent="0.3">
      <c r="A25" s="21">
        <v>17</v>
      </c>
      <c r="B25" s="48" t="s">
        <v>25</v>
      </c>
      <c r="C25" s="71">
        <f>(C24*30)/J7</f>
        <v>429218.23257891601</v>
      </c>
      <c r="D25" s="49">
        <f>(D24*30)/J7</f>
        <v>7296709.9538415717</v>
      </c>
      <c r="E25" s="91"/>
      <c r="F25" s="50">
        <f>(F24*30)/J7</f>
        <v>63147.641314076784</v>
      </c>
      <c r="G25" s="81"/>
      <c r="H25" s="81"/>
      <c r="I25" s="81"/>
      <c r="J25" s="81"/>
      <c r="K25" s="81"/>
      <c r="L25" s="81"/>
    </row>
    <row r="26" spans="1:12" ht="15.75" thickBot="1" x14ac:dyDescent="0.3">
      <c r="A26" s="28"/>
      <c r="B26" s="5"/>
      <c r="C26" s="5"/>
      <c r="D26" s="5"/>
      <c r="E26" s="92"/>
      <c r="F26" s="6"/>
      <c r="G26" s="81"/>
      <c r="H26" s="81"/>
      <c r="I26" s="81"/>
      <c r="J26" s="81"/>
      <c r="K26" s="81"/>
      <c r="L26" s="81"/>
    </row>
    <row r="27" spans="1:12" ht="15.75" thickBot="1" x14ac:dyDescent="0.3">
      <c r="A27" s="22">
        <v>18</v>
      </c>
      <c r="B27" s="23" t="s">
        <v>26</v>
      </c>
      <c r="C27" s="36">
        <f>D27/D5</f>
        <v>757536.79811764706</v>
      </c>
      <c r="D27" s="36">
        <f>J24</f>
        <v>12878125.568</v>
      </c>
      <c r="E27" s="89">
        <f>(D27/D37)*100</f>
        <v>15.283972870761042</v>
      </c>
      <c r="F27" s="42">
        <f>D27/C1</f>
        <v>111450.67562094332</v>
      </c>
      <c r="G27" s="81"/>
      <c r="H27" s="81"/>
      <c r="I27" s="81"/>
      <c r="J27" s="81"/>
      <c r="K27" s="81"/>
      <c r="L27" s="81"/>
    </row>
    <row r="28" spans="1:12" ht="15.75" thickBot="1" x14ac:dyDescent="0.3">
      <c r="A28" s="22">
        <v>19</v>
      </c>
      <c r="B28" s="24" t="s">
        <v>27</v>
      </c>
      <c r="C28" s="37">
        <f>(I28*J7)/365</f>
        <v>221509.35</v>
      </c>
      <c r="D28" s="39">
        <f>C28*D5</f>
        <v>3765658.95</v>
      </c>
      <c r="E28" s="89">
        <f>(D28/D37)*100</f>
        <v>4.4691464552381124</v>
      </c>
      <c r="F28" s="43">
        <f>D28/C1</f>
        <v>32589.000000000004</v>
      </c>
      <c r="G28" s="81"/>
      <c r="H28" s="81"/>
      <c r="I28" s="87">
        <f>J28*C1</f>
        <v>369182.25</v>
      </c>
      <c r="J28" s="87">
        <f>C2*0.045</f>
        <v>3195</v>
      </c>
      <c r="K28" s="81"/>
      <c r="L28" s="81"/>
    </row>
    <row r="29" spans="1:12" ht="15.75" thickBot="1" x14ac:dyDescent="0.3">
      <c r="A29" s="22">
        <v>20</v>
      </c>
      <c r="B29" s="24" t="s">
        <v>52</v>
      </c>
      <c r="C29" s="37">
        <f>D29/D5</f>
        <v>172690.53232026144</v>
      </c>
      <c r="D29" s="39">
        <f>I29</f>
        <v>2935739.0494444445</v>
      </c>
      <c r="E29" s="89">
        <f>(D29/D37)*100</f>
        <v>3.4841837618695517</v>
      </c>
      <c r="F29" s="43">
        <f>D29/C1</f>
        <v>25406.655555555557</v>
      </c>
      <c r="G29" s="81"/>
      <c r="H29" s="81"/>
      <c r="I29" s="87">
        <f>J29*C1</f>
        <v>2935739.0494444445</v>
      </c>
      <c r="J29" s="87">
        <f>(K24*14*500)/90000</f>
        <v>25406.655555555557</v>
      </c>
      <c r="K29" s="81"/>
      <c r="L29" s="81"/>
    </row>
    <row r="30" spans="1:12" ht="15.75" thickBot="1" x14ac:dyDescent="0.3">
      <c r="A30" s="22">
        <v>21</v>
      </c>
      <c r="B30" s="24" t="s">
        <v>53</v>
      </c>
      <c r="C30" s="37">
        <f>D30/D5</f>
        <v>543764.70588235289</v>
      </c>
      <c r="D30" s="39">
        <f>J30</f>
        <v>9244000</v>
      </c>
      <c r="E30" s="89">
        <f>(D30/D37)*100</f>
        <v>10.97093241336184</v>
      </c>
      <c r="F30" s="43">
        <f>D30/C1</f>
        <v>80000</v>
      </c>
      <c r="G30" s="81"/>
      <c r="H30" s="81"/>
      <c r="I30" s="81"/>
      <c r="J30" s="87">
        <f>2*2000*K30</f>
        <v>9244000</v>
      </c>
      <c r="K30" s="81">
        <v>2311</v>
      </c>
      <c r="L30" s="81" t="s">
        <v>55</v>
      </c>
    </row>
    <row r="31" spans="1:12" ht="15.75" thickBot="1" x14ac:dyDescent="0.3">
      <c r="A31" s="22">
        <v>22</v>
      </c>
      <c r="B31" s="47" t="s">
        <v>28</v>
      </c>
      <c r="C31" s="38">
        <f>K31</f>
        <v>127618.38391657881</v>
      </c>
      <c r="D31" s="40">
        <f>C31*D5</f>
        <v>2169512.5265818397</v>
      </c>
      <c r="E31" s="89">
        <f>(D31/D37)*100</f>
        <v>2.5748134248238044</v>
      </c>
      <c r="F31" s="44">
        <f>D31/C1</f>
        <v>18775.53030360744</v>
      </c>
      <c r="G31" s="81"/>
      <c r="H31" s="81"/>
      <c r="I31" s="88"/>
      <c r="J31" s="88">
        <f>SUM(C27:C30)</f>
        <v>1695501.3863202613</v>
      </c>
      <c r="K31" s="88">
        <f>(J31*0.07)/0.93</f>
        <v>127618.38391657881</v>
      </c>
      <c r="L31" s="81"/>
    </row>
    <row r="32" spans="1:12" ht="15.75" thickBot="1" x14ac:dyDescent="0.3">
      <c r="A32" s="22">
        <v>23</v>
      </c>
      <c r="B32" s="13" t="s">
        <v>29</v>
      </c>
      <c r="C32" s="57">
        <f>SUM(C27:C31)</f>
        <v>1823119.77023684</v>
      </c>
      <c r="D32" s="58">
        <f>SUM(D27:D31)</f>
        <v>30993036.094026282</v>
      </c>
      <c r="E32" s="93">
        <f>SUM(E27:E31)</f>
        <v>36.783048926054349</v>
      </c>
      <c r="F32" s="59">
        <f>SUM(F27:F31)</f>
        <v>268221.86148010637</v>
      </c>
    </row>
    <row r="33" spans="1:7" ht="15.75" thickBot="1" x14ac:dyDescent="0.3">
      <c r="A33" s="22">
        <v>24</v>
      </c>
      <c r="B33" s="48" t="s">
        <v>30</v>
      </c>
      <c r="C33" s="54">
        <f>(C32*30)/J7</f>
        <v>249742.43427901919</v>
      </c>
      <c r="D33" s="55">
        <f>(D32*30)/J7</f>
        <v>4245621.3827433269</v>
      </c>
      <c r="E33" s="94"/>
      <c r="F33" s="56">
        <f>(F32*30)/J7</f>
        <v>36742.720750699504</v>
      </c>
    </row>
    <row r="34" spans="1:7" ht="15.75" thickBot="1" x14ac:dyDescent="0.3">
      <c r="A34" s="28"/>
      <c r="B34" s="7"/>
      <c r="C34" s="7"/>
      <c r="D34" s="7"/>
      <c r="E34" s="89"/>
      <c r="F34" s="8"/>
    </row>
    <row r="35" spans="1:7" ht="15.75" thickBot="1" x14ac:dyDescent="0.3">
      <c r="A35" s="22">
        <v>25</v>
      </c>
      <c r="B35" s="27" t="s">
        <v>31</v>
      </c>
      <c r="C35" s="36">
        <f>C24</f>
        <v>3133293.0978260869</v>
      </c>
      <c r="D35" s="41">
        <f>D24</f>
        <v>53265982.663043477</v>
      </c>
      <c r="E35" s="89">
        <f>(D35/D37)*100</f>
        <v>63.216951073945651</v>
      </c>
      <c r="F35" s="42">
        <f>F24</f>
        <v>460977.78159276053</v>
      </c>
    </row>
    <row r="36" spans="1:7" x14ac:dyDescent="0.25">
      <c r="A36" s="21">
        <v>26</v>
      </c>
      <c r="B36" s="25" t="s">
        <v>29</v>
      </c>
      <c r="C36" s="37">
        <f>C32</f>
        <v>1823119.77023684</v>
      </c>
      <c r="D36" s="39">
        <f>D32</f>
        <v>30993036.094026282</v>
      </c>
      <c r="E36" s="89">
        <f>(D36/D37)*100</f>
        <v>36.783048926054349</v>
      </c>
      <c r="F36" s="43">
        <f>F32</f>
        <v>268221.86148010637</v>
      </c>
    </row>
    <row r="37" spans="1:7" x14ac:dyDescent="0.25">
      <c r="A37" s="22">
        <v>27</v>
      </c>
      <c r="B37" s="25" t="s">
        <v>32</v>
      </c>
      <c r="C37" s="37">
        <f>SUM(C35:C36)</f>
        <v>4956412.8680629265</v>
      </c>
      <c r="D37" s="39">
        <f>SUM(D35:D36)</f>
        <v>84259018.757069767</v>
      </c>
      <c r="E37" s="95">
        <f>SUM(E35:E36)</f>
        <v>100</v>
      </c>
      <c r="F37" s="43">
        <f>SUM(F35:F36)</f>
        <v>729199.64307286683</v>
      </c>
    </row>
    <row r="38" spans="1:7" ht="15.75" thickBot="1" x14ac:dyDescent="0.3">
      <c r="A38" s="21">
        <v>28</v>
      </c>
      <c r="B38" s="26" t="s">
        <v>33</v>
      </c>
      <c r="C38" s="38">
        <f>(C37*30)/J7</f>
        <v>678960.66685793514</v>
      </c>
      <c r="D38" s="40">
        <f>(D37*30)/J7</f>
        <v>11542331.3365849</v>
      </c>
      <c r="E38" s="96"/>
      <c r="F38" s="44">
        <f>(F37*30)/J7</f>
        <v>99890.362064776287</v>
      </c>
    </row>
    <row r="39" spans="1:7" ht="15.75" thickBot="1" x14ac:dyDescent="0.3">
      <c r="A39" s="28"/>
      <c r="B39" s="5"/>
      <c r="C39" s="5"/>
      <c r="D39" s="5"/>
      <c r="E39" s="97"/>
      <c r="F39" s="6"/>
    </row>
    <row r="40" spans="1:7" ht="15.75" thickBot="1" x14ac:dyDescent="0.3">
      <c r="A40" s="51">
        <v>29</v>
      </c>
      <c r="B40" s="13" t="s">
        <v>32</v>
      </c>
      <c r="C40" s="57">
        <f>C37</f>
        <v>4956412.8680629265</v>
      </c>
      <c r="D40" s="58">
        <f>D37</f>
        <v>84259018.757069767</v>
      </c>
      <c r="E40" s="98">
        <f>(D40/D42)*100</f>
        <v>76.923076923076934</v>
      </c>
      <c r="F40" s="59">
        <f>F37</f>
        <v>729199.64307286683</v>
      </c>
    </row>
    <row r="41" spans="1:7" ht="15.75" thickBot="1" x14ac:dyDescent="0.3">
      <c r="A41" s="51">
        <v>30</v>
      </c>
      <c r="B41" s="13" t="s">
        <v>34</v>
      </c>
      <c r="C41" s="57">
        <f>C40*0.3</f>
        <v>1486923.8604188778</v>
      </c>
      <c r="D41" s="58">
        <f>D40*0.3</f>
        <v>25277705.627120931</v>
      </c>
      <c r="E41" s="98">
        <f>(D41/D42)*100</f>
        <v>23.076923076923077</v>
      </c>
      <c r="F41" s="59">
        <f>F40*0.3</f>
        <v>218759.89292186004</v>
      </c>
    </row>
    <row r="42" spans="1:7" ht="15.75" thickBot="1" x14ac:dyDescent="0.3">
      <c r="A42" s="60">
        <v>31</v>
      </c>
      <c r="B42" s="61" t="s">
        <v>35</v>
      </c>
      <c r="C42" s="62">
        <f>SUM(C40:C41)</f>
        <v>6443336.728481804</v>
      </c>
      <c r="D42" s="63">
        <f>SUM(D40:D41)</f>
        <v>109536724.38419069</v>
      </c>
      <c r="E42" s="99">
        <f>SUM(E40:E41)</f>
        <v>100.00000000000001</v>
      </c>
      <c r="F42" s="64">
        <f>SUM(F40:F41)</f>
        <v>947959.53599472693</v>
      </c>
    </row>
    <row r="45" spans="1:7" x14ac:dyDescent="0.25">
      <c r="A45" s="1"/>
      <c r="B45" s="1" t="s">
        <v>36</v>
      </c>
      <c r="C45" s="1"/>
      <c r="D45" s="1"/>
      <c r="E45" s="1"/>
    </row>
    <row r="46" spans="1:7" ht="15.75" thickBot="1" x14ac:dyDescent="0.3">
      <c r="A46" s="1"/>
      <c r="B46" s="1"/>
      <c r="C46" s="1"/>
      <c r="D46" s="1"/>
      <c r="E46" s="1"/>
    </row>
    <row r="47" spans="1:7" ht="15.75" thickBot="1" x14ac:dyDescent="0.3">
      <c r="A47" s="9" t="s">
        <v>8</v>
      </c>
      <c r="B47" s="11" t="s">
        <v>37</v>
      </c>
      <c r="C47" s="9" t="s">
        <v>38</v>
      </c>
      <c r="D47" s="46" t="s">
        <v>48</v>
      </c>
      <c r="E47" s="1"/>
    </row>
    <row r="48" spans="1:7" ht="15.75" thickBot="1" x14ac:dyDescent="0.3">
      <c r="A48" s="9">
        <v>1</v>
      </c>
      <c r="B48" s="11" t="s">
        <v>39</v>
      </c>
      <c r="C48" s="45">
        <f>D42/G48</f>
        <v>29421.628897177194</v>
      </c>
      <c r="D48" s="72">
        <f>C48/C1</f>
        <v>254.62249153766504</v>
      </c>
      <c r="E48" s="1"/>
      <c r="F48" s="81" t="s">
        <v>54</v>
      </c>
      <c r="G48" s="82">
        <v>3723</v>
      </c>
    </row>
    <row r="49" spans="1:7" ht="15.75" thickBot="1" x14ac:dyDescent="0.3">
      <c r="A49" s="9">
        <v>2</v>
      </c>
      <c r="B49" s="11" t="s">
        <v>40</v>
      </c>
      <c r="C49" s="45">
        <f>D42/G49</f>
        <v>47397.976799736345</v>
      </c>
      <c r="D49" s="72">
        <f>C49/C1</f>
        <v>410.19452011887796</v>
      </c>
      <c r="E49" s="1"/>
      <c r="F49" s="81" t="s">
        <v>55</v>
      </c>
      <c r="G49" s="82">
        <v>2311</v>
      </c>
    </row>
    <row r="50" spans="1:7" ht="15.75" thickBot="1" x14ac:dyDescent="0.3">
      <c r="A50" s="9">
        <v>3</v>
      </c>
      <c r="B50" s="11" t="s">
        <v>41</v>
      </c>
      <c r="C50" s="45">
        <f>D42/G50</f>
        <v>121.75876173993504</v>
      </c>
      <c r="D50" s="72">
        <f>C50/C1</f>
        <v>1.0537322521846391</v>
      </c>
      <c r="E50" s="1"/>
      <c r="F50" s="81" t="s">
        <v>57</v>
      </c>
      <c r="G50" s="82">
        <v>899620.88</v>
      </c>
    </row>
    <row r="51" spans="1:7" ht="15.75" thickBot="1" x14ac:dyDescent="0.3">
      <c r="A51" s="9">
        <v>4</v>
      </c>
      <c r="B51" s="11" t="s">
        <v>42</v>
      </c>
      <c r="C51" s="45">
        <f>D42/G51</f>
        <v>335.32642614176552</v>
      </c>
      <c r="D51" s="72">
        <f>C51/C1</f>
        <v>2.9020028225163612</v>
      </c>
      <c r="E51" s="1"/>
      <c r="F51" s="81" t="s">
        <v>56</v>
      </c>
      <c r="G51" s="82">
        <v>326657</v>
      </c>
    </row>
    <row r="52" spans="1:7" ht="15.75" thickBot="1" x14ac:dyDescent="0.3">
      <c r="A52" s="9">
        <v>5</v>
      </c>
      <c r="B52" s="11" t="s">
        <v>43</v>
      </c>
      <c r="C52" s="45">
        <f>D42/G52</f>
        <v>663.85893566176173</v>
      </c>
      <c r="D52" s="72">
        <f>C52/C1</f>
        <v>5.7452093090589509</v>
      </c>
      <c r="E52" s="1"/>
      <c r="F52" s="81" t="s">
        <v>58</v>
      </c>
      <c r="G52" s="82">
        <v>165000</v>
      </c>
    </row>
    <row r="53" spans="1:7" ht="15.75" thickBot="1" x14ac:dyDescent="0.3">
      <c r="A53" s="9">
        <v>6</v>
      </c>
      <c r="B53" s="11" t="s">
        <v>44</v>
      </c>
      <c r="C53" s="45">
        <f>D42/G53</f>
        <v>24.477480309316356</v>
      </c>
      <c r="D53" s="72">
        <f>C53/C1</f>
        <v>0.21183453318317919</v>
      </c>
      <c r="E53" s="1"/>
      <c r="F53" s="81" t="s">
        <v>59</v>
      </c>
      <c r="G53" s="82">
        <v>4475000</v>
      </c>
    </row>
    <row r="54" spans="1:7" ht="15.75" thickBot="1" x14ac:dyDescent="0.3">
      <c r="A54" s="9">
        <v>7</v>
      </c>
      <c r="B54" s="11" t="s">
        <v>45</v>
      </c>
      <c r="C54" s="45">
        <f>D42/G54</f>
        <v>3000.1915749502173</v>
      </c>
      <c r="D54" s="72">
        <f>C54/C1</f>
        <v>25.964444612290933</v>
      </c>
      <c r="E54" s="1"/>
      <c r="F54" s="81" t="s">
        <v>60</v>
      </c>
      <c r="G54" s="82">
        <v>36509.910000000003</v>
      </c>
    </row>
    <row r="55" spans="1:7" ht="15.75" thickBot="1" x14ac:dyDescent="0.3">
      <c r="A55" s="9">
        <v>8</v>
      </c>
      <c r="B55" s="11" t="s">
        <v>46</v>
      </c>
      <c r="C55" s="45">
        <f>D42/G55</f>
        <v>1225.9012040490497</v>
      </c>
      <c r="D55" s="72">
        <f>C55/C1</f>
        <v>10.609270480736043</v>
      </c>
      <c r="E55" s="1"/>
      <c r="F55" s="81" t="s">
        <v>61</v>
      </c>
      <c r="G55" s="82">
        <f>D5*J7*24</f>
        <v>89352</v>
      </c>
    </row>
  </sheetData>
  <mergeCells count="1">
    <mergeCell ref="G13:I13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O9" sqref="O9"/>
    </sheetView>
  </sheetViews>
  <sheetFormatPr defaultRowHeight="15" x14ac:dyDescent="0.25"/>
  <cols>
    <col min="1" max="1" width="9.140625" style="73"/>
    <col min="2" max="2" width="9.5703125" style="73" bestFit="1" customWidth="1"/>
    <col min="3" max="20" width="9.140625" style="73"/>
    <col min="21" max="21" width="36.7109375" style="73" bestFit="1" customWidth="1"/>
    <col min="22" max="16384" width="9.140625" style="73"/>
  </cols>
  <sheetData>
    <row r="1" spans="1:16" x14ac:dyDescent="0.25">
      <c r="A1" s="109" t="s">
        <v>62</v>
      </c>
      <c r="B1" s="110"/>
      <c r="D1" s="101" t="s">
        <v>76</v>
      </c>
      <c r="E1" s="103" t="s">
        <v>63</v>
      </c>
      <c r="F1" s="101" t="s">
        <v>76</v>
      </c>
      <c r="G1" s="105" t="s">
        <v>64</v>
      </c>
      <c r="H1" s="101" t="s">
        <v>76</v>
      </c>
      <c r="I1" s="103" t="s">
        <v>66</v>
      </c>
      <c r="J1" s="101" t="s">
        <v>76</v>
      </c>
      <c r="K1" s="105" t="s">
        <v>68</v>
      </c>
      <c r="L1" s="101" t="s">
        <v>76</v>
      </c>
      <c r="M1" s="105" t="s">
        <v>69</v>
      </c>
      <c r="N1" s="101" t="s">
        <v>76</v>
      </c>
      <c r="O1" s="103" t="s">
        <v>70</v>
      </c>
      <c r="P1" s="101" t="s">
        <v>76</v>
      </c>
    </row>
    <row r="2" spans="1:16" ht="15.75" thickBot="1" x14ac:dyDescent="0.3">
      <c r="A2" s="74" t="s">
        <v>63</v>
      </c>
      <c r="B2" s="106">
        <v>0.62070000000000003</v>
      </c>
      <c r="D2" s="102">
        <f>((B15)/(B2*B5))*((1/B8)+(B9*B3)/B7)+B16</f>
        <v>93.644276364031143</v>
      </c>
      <c r="E2" s="100">
        <v>0.57999999999999996</v>
      </c>
      <c r="F2" s="104">
        <f>(B15/(E2*B5))*((1/B8)+(B9*B3)/B7)+B16</f>
        <v>97.797996068125002</v>
      </c>
      <c r="G2" s="79">
        <v>0.32</v>
      </c>
      <c r="H2" s="104">
        <f>(B15/(B2*B5))*((1/B8)+(B9*G2)/B7)+B16</f>
        <v>90.32952897808623</v>
      </c>
      <c r="I2" s="79">
        <v>0.61</v>
      </c>
      <c r="J2" s="104">
        <f>(B15/(B2*I2))*((1/B8)+(B9*B3)/B7)+B16</f>
        <v>98.331202041337519</v>
      </c>
      <c r="K2" s="79">
        <v>23</v>
      </c>
      <c r="L2" s="104">
        <f>(B15/(B2*B5))*((1/B8)+(B9*B3)/K2)+B16</f>
        <v>98.634424077829578</v>
      </c>
      <c r="M2" s="79">
        <v>42</v>
      </c>
      <c r="N2" s="104">
        <f>(B15/(B2*B5))*((1/M2)+(B9*B3)/B7)+B16</f>
        <v>97.113497285831514</v>
      </c>
      <c r="O2" s="79">
        <v>1</v>
      </c>
      <c r="P2" s="104">
        <f>(B15/(B2*B5))*((1/B8)+(O2*B3)/B7)+B16</f>
        <v>85.2594261108745</v>
      </c>
    </row>
    <row r="3" spans="1:16" x14ac:dyDescent="0.25">
      <c r="A3" s="74" t="s">
        <v>64</v>
      </c>
      <c r="B3" s="106">
        <v>0.36309999999999998</v>
      </c>
      <c r="E3" s="79">
        <v>0.6</v>
      </c>
      <c r="F3" s="78">
        <f>(B15/(E3*B5))*((1/B8)+(B9*B3)/B7)+B16</f>
        <v>95.686436837714638</v>
      </c>
      <c r="G3" s="79">
        <v>0.34</v>
      </c>
      <c r="H3" s="78">
        <f>(B15/(B2*B5))*((1/B8)+(B9*G3)/B7)+B16</f>
        <v>91.8676948184319</v>
      </c>
      <c r="I3" s="79">
        <v>0.63</v>
      </c>
      <c r="J3" s="78">
        <f>(B15/(B2*I3))*((1/B8)+(B9*B3)/B7)+B16</f>
        <v>96.303266076717719</v>
      </c>
      <c r="K3" s="79">
        <v>25</v>
      </c>
      <c r="L3" s="78">
        <f>(B15/(B2*B5))*((1/B8)+(B9*B3)/K3)+B16</f>
        <v>96.001180194207663</v>
      </c>
      <c r="M3" s="79">
        <v>44</v>
      </c>
      <c r="N3" s="78">
        <f>(B15/(B2*B5))*((1/M3)+(B9*B3)/B7)+B16</f>
        <v>95.534548317715959</v>
      </c>
      <c r="O3" s="79">
        <v>1.2</v>
      </c>
      <c r="P3" s="78">
        <f>(B15/(B2*B5))*((1/B8)+(O3*B3)/B7)+B16</f>
        <v>89.167536226538274</v>
      </c>
    </row>
    <row r="4" spans="1:16" x14ac:dyDescent="0.25">
      <c r="A4" s="74" t="s">
        <v>65</v>
      </c>
      <c r="B4" s="106">
        <v>0.68440000000000001</v>
      </c>
      <c r="E4" s="79">
        <v>0.62070000000000003</v>
      </c>
      <c r="F4" s="78">
        <f>D2</f>
        <v>93.644276364031143</v>
      </c>
      <c r="G4" s="79">
        <v>0.36309999999999998</v>
      </c>
      <c r="H4" s="78">
        <f>(B15/(B2*B5))*((1/B8)+(B9*G4)/B7)+B16</f>
        <v>93.644276364031143</v>
      </c>
      <c r="I4" s="79">
        <v>0.6583</v>
      </c>
      <c r="J4" s="78">
        <f>(B15/(B2*I4))*((1/B8)+(B9*B3)/B7)+B16</f>
        <v>93.644276364031143</v>
      </c>
      <c r="K4" s="79">
        <v>27.11</v>
      </c>
      <c r="L4" s="78">
        <f>(B15/(B2*B5))*((1/B8)+(B9*B3)/K4)+B16</f>
        <v>93.644276364031143</v>
      </c>
      <c r="M4" s="79">
        <v>46.66</v>
      </c>
      <c r="N4" s="78">
        <f>(B15/(B2*B5))*((1/M4)+(B9*B3)/B7)+B16</f>
        <v>93.644276364031143</v>
      </c>
      <c r="O4" s="79">
        <v>1.4291</v>
      </c>
      <c r="P4" s="78">
        <f>(B15/(B2*B5))*((1/B8)+(O4*B3)/B7)+B16</f>
        <v>93.644276364031143</v>
      </c>
    </row>
    <row r="5" spans="1:16" x14ac:dyDescent="0.25">
      <c r="A5" s="74" t="s">
        <v>66</v>
      </c>
      <c r="B5" s="106">
        <v>0.6583</v>
      </c>
      <c r="E5" s="79">
        <v>0.64</v>
      </c>
      <c r="F5" s="78">
        <f>(B15/(E5*B5))*((1/B8)+(B9*B3)/B7)+B16</f>
        <v>91.859235732595849</v>
      </c>
      <c r="G5" s="79">
        <v>0.38</v>
      </c>
      <c r="H5" s="78">
        <f>(B15/(B2*B5))*((1/B8)+(B9*G5)/B7)+B16</f>
        <v>94.944026499123225</v>
      </c>
      <c r="I5" s="79">
        <v>0.67</v>
      </c>
      <c r="J5" s="78">
        <f>(B15/(B2*I5))*((1/B8)+(B9*B3)/B7)+B16</f>
        <v>92.610606559051831</v>
      </c>
      <c r="K5" s="79">
        <v>29</v>
      </c>
      <c r="L5" s="78">
        <f>(B15/(B2*B5))*((1/B8)+(B9*B3)/K5)+B16</f>
        <v>91.824310585703927</v>
      </c>
      <c r="M5" s="79">
        <v>48</v>
      </c>
      <c r="N5" s="78">
        <f>(B15/(B2*B5))*((1/M5)+(B9*B3)/B7)+B16</f>
        <v>92.77138762351376</v>
      </c>
      <c r="O5" s="79">
        <v>1.6</v>
      </c>
      <c r="P5" s="78">
        <f>(B15/(B2*B5))*((1/B8)+(O5*B3)/B7)+B16</f>
        <v>96.983756457865837</v>
      </c>
    </row>
    <row r="6" spans="1:16" x14ac:dyDescent="0.25">
      <c r="A6" s="74" t="s">
        <v>67</v>
      </c>
      <c r="B6" s="106">
        <v>20</v>
      </c>
      <c r="E6" s="79">
        <v>0.66</v>
      </c>
      <c r="F6" s="78">
        <f>(B15/(E6*B5))*((1/B8)+(B9*B3)/B7)+B16</f>
        <v>90.119598866632771</v>
      </c>
      <c r="G6" s="79">
        <v>0.4</v>
      </c>
      <c r="H6" s="78">
        <f>(B15/(B2*B5))*((1/B8)+(B9*G6)/B7)+B16</f>
        <v>96.482192339468881</v>
      </c>
      <c r="I6" s="79">
        <v>0.69</v>
      </c>
      <c r="J6" s="78">
        <f>(B15/(B2*I6))*((1/B8)+(B9*B3)/B7)+B16</f>
        <v>90.924827214030444</v>
      </c>
      <c r="K6" s="79">
        <v>31</v>
      </c>
      <c r="L6" s="78">
        <f>(B15/(B2*B5))*((1/B8)+(B9*B3)/K6)+B16</f>
        <v>90.140088969371789</v>
      </c>
      <c r="M6" s="79">
        <v>50</v>
      </c>
      <c r="N6" s="78">
        <f>(B15/(B2*B5))*((1/M6)+(B9*B3)/B7)+B16</f>
        <v>91.555596918064793</v>
      </c>
      <c r="O6" s="79">
        <v>1.8</v>
      </c>
      <c r="P6" s="78">
        <f>(B15/(B2*B5))*((1/B8)+(O6*B3)/B7)+B16</f>
        <v>100.8918665735296</v>
      </c>
    </row>
    <row r="7" spans="1:16" x14ac:dyDescent="0.25">
      <c r="A7" s="74" t="s">
        <v>68</v>
      </c>
      <c r="B7" s="106">
        <v>27.11</v>
      </c>
      <c r="E7" s="79">
        <v>0.68</v>
      </c>
      <c r="F7" s="78">
        <f>(B15/(E7*B5))*((1/B8)+(B9*B3)/B7)+B16</f>
        <v>88.482293581020443</v>
      </c>
      <c r="G7" s="79">
        <v>0.42</v>
      </c>
      <c r="H7" s="78">
        <f>(B15/(B2*B5))*((1/B8)+(B9*G7)/B7)+B16</f>
        <v>98.020358179814536</v>
      </c>
      <c r="I7" s="79">
        <v>0.71</v>
      </c>
      <c r="J7" s="78">
        <f>(B15/(B2*I7))*((1/B8)+(B9*B3)/B7)+B16</f>
        <v>89.334021353235613</v>
      </c>
      <c r="K7" s="79">
        <v>33</v>
      </c>
      <c r="L7" s="78">
        <f>(B15/(B2*B5))*((1/B8)+(B9*B3)/K7)+B16</f>
        <v>88.660015427746558</v>
      </c>
      <c r="M7" s="79">
        <v>52</v>
      </c>
      <c r="N7" s="78">
        <f>(B15/(B2*B5))*((1/M7)+(B9*B3)/B7)+B16</f>
        <v>90.433328574573437</v>
      </c>
      <c r="O7" s="79">
        <v>2</v>
      </c>
      <c r="P7" s="78">
        <f>(B15/(B2*B5))*((1/B8)+(O7*B3)/B7)+B16</f>
        <v>104.79997668919339</v>
      </c>
    </row>
    <row r="8" spans="1:16" ht="15.75" thickBot="1" x14ac:dyDescent="0.3">
      <c r="A8" s="74" t="s">
        <v>69</v>
      </c>
      <c r="B8" s="106">
        <v>46.66</v>
      </c>
    </row>
    <row r="9" spans="1:16" x14ac:dyDescent="0.25">
      <c r="A9" s="74" t="s">
        <v>70</v>
      </c>
      <c r="B9" s="106">
        <v>1.4291</v>
      </c>
      <c r="D9" s="101" t="s">
        <v>77</v>
      </c>
      <c r="E9" s="103" t="s">
        <v>63</v>
      </c>
      <c r="F9" s="101" t="s">
        <v>77</v>
      </c>
      <c r="G9" s="105" t="s">
        <v>64</v>
      </c>
      <c r="H9" s="101" t="s">
        <v>77</v>
      </c>
      <c r="I9" s="103" t="s">
        <v>66</v>
      </c>
      <c r="J9" s="101" t="s">
        <v>77</v>
      </c>
      <c r="K9" s="105" t="s">
        <v>68</v>
      </c>
      <c r="L9" s="101" t="s">
        <v>77</v>
      </c>
      <c r="M9" s="105" t="s">
        <v>69</v>
      </c>
      <c r="N9" s="101" t="s">
        <v>77</v>
      </c>
      <c r="O9" s="103" t="s">
        <v>70</v>
      </c>
      <c r="P9" s="101" t="s">
        <v>77</v>
      </c>
    </row>
    <row r="10" spans="1:16" ht="15.75" thickBot="1" x14ac:dyDescent="0.3">
      <c r="A10" s="74" t="s">
        <v>71</v>
      </c>
      <c r="B10" s="106">
        <v>0.68510000000000004</v>
      </c>
      <c r="D10" s="102">
        <f>(B15/(B2*B5))*(1/(B3*B8)+B9/B7)+B16/B3</f>
        <v>257.90216569548647</v>
      </c>
      <c r="E10" s="100">
        <v>0.57999999999999996</v>
      </c>
      <c r="F10" s="104">
        <f>(B15/(E10*B5))*(1/(B3*B8)+B9/B7)+B16/B3</f>
        <v>269.34176829557975</v>
      </c>
      <c r="G10" s="79">
        <v>0.32</v>
      </c>
      <c r="H10" s="104">
        <f>(B15/(B2*B5))*(1/(G10*B8)+B9/B7)+B16/G10</f>
        <v>282.27977805651949</v>
      </c>
      <c r="I10" s="79">
        <v>0.61</v>
      </c>
      <c r="J10" s="104">
        <f>(B15/(B2*I10))*(1/(B3*B8)+B9/B7)+B16/B3</f>
        <v>270.81025073351009</v>
      </c>
      <c r="K10" s="79">
        <v>23</v>
      </c>
      <c r="L10" s="104">
        <f>(B15/(B2*B5))*(1/(B3*B8)+B9/K10)+B16/B3</f>
        <v>271.64534309509662</v>
      </c>
      <c r="M10" s="79">
        <v>42</v>
      </c>
      <c r="N10" s="104">
        <f>(B15/(B2*B5))*(1/(B3*M10)+B9/B7)+B16/B3</f>
        <v>267.45661604470257</v>
      </c>
      <c r="O10" s="79">
        <v>1</v>
      </c>
      <c r="P10" s="104">
        <f>(B15/(B2*B5))*(1/(B3*B8)+O10/B7)+B16/B3</f>
        <v>234.80976621006477</v>
      </c>
    </row>
    <row r="11" spans="1:16" x14ac:dyDescent="0.25">
      <c r="A11" s="75"/>
      <c r="B11" s="76"/>
      <c r="E11" s="79">
        <v>0.6</v>
      </c>
      <c r="F11" s="104">
        <f>(B15/(E11*B5))*(1/(B3*B8)+B9/B7)+B16/B3</f>
        <v>263.5264027477682</v>
      </c>
      <c r="G11" s="79">
        <v>0.34</v>
      </c>
      <c r="H11" s="78">
        <f>(B15/(B2*B5))*(1/(G11*B8)+B9/B7)+B16/G11</f>
        <v>270.19910240715262</v>
      </c>
      <c r="I11" s="79">
        <v>0.63</v>
      </c>
      <c r="J11" s="78">
        <f>(B15/(B2*I11))*(1/(B3*B8)+B9/B7)+B16/B3</f>
        <v>265.22518886454895</v>
      </c>
      <c r="K11" s="79">
        <v>25</v>
      </c>
      <c r="L11" s="78">
        <f>(B15/(B2*B5))*(1/(B3*B8)+B9/K11)+B16/B3</f>
        <v>264.39322554174515</v>
      </c>
      <c r="M11" s="79">
        <v>44</v>
      </c>
      <c r="N11" s="78">
        <f>(B15/(B2*B5))*(1/(B3*M11)+B9/B7)+B16/B3</f>
        <v>263.10809230987599</v>
      </c>
      <c r="O11" s="79">
        <v>1.2</v>
      </c>
      <c r="P11" s="78">
        <f>(B15/(B2*B5))*(1/(B3*B8)+O11/B7)+B16/B3</f>
        <v>245.57294471643701</v>
      </c>
    </row>
    <row r="12" spans="1:16" x14ac:dyDescent="0.25">
      <c r="A12" s="75"/>
      <c r="B12" s="76"/>
      <c r="E12" s="79">
        <v>0.62070000000000003</v>
      </c>
      <c r="F12" s="78">
        <f>(B15/(E12*B5))*(1/(B3*B8)+B9/B7)+B16/B3</f>
        <v>257.90216569548647</v>
      </c>
      <c r="G12" s="79">
        <v>0.36309999999999998</v>
      </c>
      <c r="H12" s="78">
        <f>(B15/(B2*B5))*(1/(G12*B8)+B9/B7)+B16/G12</f>
        <v>257.90216569548647</v>
      </c>
      <c r="I12" s="79">
        <v>0.6583</v>
      </c>
      <c r="J12" s="78">
        <f>(B15/(B2*I12))*(1/(B3*B8)+B9/B7)+B16/B3</f>
        <v>257.90216569548647</v>
      </c>
      <c r="K12" s="79">
        <v>27.11</v>
      </c>
      <c r="L12" s="78">
        <f>(B15/(B2*B5))*(1/(B3*B8)+B9/K12)+B16/B3</f>
        <v>257.90216569548647</v>
      </c>
      <c r="M12" s="79">
        <v>46.66</v>
      </c>
      <c r="N12" s="78">
        <f>(B15/(B2*B5))*(1/(B3*M12)+B9/B7)+B16/B3</f>
        <v>257.90216569548647</v>
      </c>
      <c r="O12" s="79">
        <v>1.4291</v>
      </c>
      <c r="P12" s="78">
        <f>(B15/(B2*B5))*(1/(B3*B8)+O12/B7)+B16/B3</f>
        <v>257.90216569548647</v>
      </c>
    </row>
    <row r="13" spans="1:16" x14ac:dyDescent="0.25">
      <c r="A13" s="75"/>
      <c r="B13" s="76"/>
      <c r="E13" s="79">
        <v>0.64</v>
      </c>
      <c r="F13" s="78">
        <f>(B15/(E13*B5))*(1/(B3*B8)+B9/B7)+B16/B3</f>
        <v>252.98605269235981</v>
      </c>
      <c r="G13" s="79">
        <v>0.38</v>
      </c>
      <c r="H13" s="78">
        <f>(B15/(B2*B5))*(1/(G13*B8)+B9/B7)+B16/G13</f>
        <v>249.85270131348216</v>
      </c>
      <c r="I13" s="79">
        <v>0.67</v>
      </c>
      <c r="J13" s="78">
        <f>(B15/(B2*I13))*(1/(B3*B8)+B9/B7)+B16/B3</f>
        <v>255.05537471509729</v>
      </c>
      <c r="K13" s="79">
        <v>29</v>
      </c>
      <c r="L13" s="78">
        <f>(B15/(B2*B5))*(1/(B3*B8)+B9/K13)+B16/B3</f>
        <v>252.88986666401524</v>
      </c>
      <c r="M13" s="79">
        <v>48</v>
      </c>
      <c r="N13" s="78">
        <f>(B15/(B2*B5))*(1/(B3*M13)+B9/B7)+B16/B3</f>
        <v>255.4981757739294</v>
      </c>
      <c r="O13" s="79">
        <v>1.6</v>
      </c>
      <c r="P13" s="78">
        <f>(B15/(B2*B5))*(1/(B3*B8)+O13/B7)+B16/B3</f>
        <v>267.0993017291816</v>
      </c>
    </row>
    <row r="14" spans="1:16" ht="15.75" thickBot="1" x14ac:dyDescent="0.3">
      <c r="A14" s="75"/>
      <c r="B14" s="76"/>
      <c r="E14" s="79">
        <v>0.66</v>
      </c>
      <c r="F14" s="78">
        <f>(B15/(E14*B5))*(1/(B3*B8)+B9/B7)+B16/B3</f>
        <v>248.19498448535597</v>
      </c>
      <c r="G14" s="79">
        <v>0.4</v>
      </c>
      <c r="H14" s="78">
        <f>(B15/(B2*B5))*(1/(G14*B8)+B9/B7)+B16/G14</f>
        <v>241.20548084867218</v>
      </c>
      <c r="I14" s="79">
        <v>0.69</v>
      </c>
      <c r="J14" s="78">
        <f>(B15/(B2*I14))*(1/(B3*B8)+B9/B7)+B16/B3</f>
        <v>250.41263347295637</v>
      </c>
      <c r="K14" s="79">
        <v>31</v>
      </c>
      <c r="L14" s="78">
        <f>(B15/(B2*B5))*(1/(B3*B8)+B9/K14)+B16/B3</f>
        <v>248.25141550364032</v>
      </c>
      <c r="M14" s="79">
        <v>50</v>
      </c>
      <c r="N14" s="78">
        <f>(B15/(B2*B5))*(1/(B3*M14)+B9/B7)+B16/B3</f>
        <v>252.14981249811291</v>
      </c>
      <c r="O14" s="79">
        <v>1.8</v>
      </c>
      <c r="P14" s="78">
        <f>(B15/(B2*B5))*(1/(B3*B8)+O14/B7)+B16/B3</f>
        <v>277.86248023555385</v>
      </c>
    </row>
    <row r="15" spans="1:16" ht="15.75" thickBot="1" x14ac:dyDescent="0.3">
      <c r="A15" s="77" t="s">
        <v>73</v>
      </c>
      <c r="B15" s="80">
        <f>Troskovi!D24/(24*Troskovi!G48)</f>
        <v>596.13643413738339</v>
      </c>
      <c r="E15" s="79">
        <v>0.68</v>
      </c>
      <c r="F15" s="78">
        <f>(B15/(E15*B5))*(1/(B3*B8)+B9/B7)+B16/B3</f>
        <v>243.68574381994063</v>
      </c>
      <c r="G15" s="79">
        <v>0.42</v>
      </c>
      <c r="H15" s="78">
        <f>(B15/(B2*B5))*(1/(G15*B8)+B9/B7)+B16/G15</f>
        <v>233.38180519003464</v>
      </c>
      <c r="I15" s="79">
        <v>0.71</v>
      </c>
      <c r="J15" s="78">
        <f>(B15/(B2*I15))*(1/(B3*B8)+B9/B7)+B16/B3</f>
        <v>246.03145511769657</v>
      </c>
      <c r="K15" s="79">
        <v>33</v>
      </c>
      <c r="L15" s="78">
        <f>(B15/(B2*B5))*(1/(B3*B8)+B9/K15)+B16/B3</f>
        <v>244.17520084755324</v>
      </c>
      <c r="M15" s="79">
        <v>52</v>
      </c>
      <c r="N15" s="78">
        <f>(B15/(B2*B5))*(1/(B3*M15)+B9/B7)+B16/B3</f>
        <v>249.05901562812846</v>
      </c>
      <c r="O15" s="79">
        <v>2</v>
      </c>
      <c r="P15" s="78">
        <f>(B15/(B2*B5))*(1/(B3*B8)+O15/B7)+B16/B3</f>
        <v>288.62565874192615</v>
      </c>
    </row>
    <row r="16" spans="1:16" ht="15.75" thickBot="1" x14ac:dyDescent="0.3">
      <c r="A16" s="77" t="s">
        <v>72</v>
      </c>
      <c r="B16" s="80">
        <f>Troskovi!D32/Troskovi!G50</f>
        <v>34.451219155814037</v>
      </c>
    </row>
    <row r="17" spans="4:20" x14ac:dyDescent="0.25">
      <c r="D17" s="101" t="s">
        <v>78</v>
      </c>
      <c r="E17" s="103" t="s">
        <v>63</v>
      </c>
      <c r="F17" s="101" t="s">
        <v>78</v>
      </c>
      <c r="G17" s="103" t="s">
        <v>64</v>
      </c>
      <c r="H17" s="101" t="s">
        <v>78</v>
      </c>
      <c r="I17" s="105" t="s">
        <v>65</v>
      </c>
      <c r="J17" s="101" t="s">
        <v>78</v>
      </c>
      <c r="K17" s="103" t="s">
        <v>66</v>
      </c>
      <c r="L17" s="101" t="s">
        <v>78</v>
      </c>
      <c r="M17" s="103" t="s">
        <v>67</v>
      </c>
      <c r="N17" s="101" t="s">
        <v>78</v>
      </c>
      <c r="O17" s="103" t="s">
        <v>68</v>
      </c>
      <c r="P17" s="101" t="s">
        <v>78</v>
      </c>
      <c r="Q17" s="103" t="s">
        <v>69</v>
      </c>
      <c r="R17" s="101" t="s">
        <v>78</v>
      </c>
      <c r="S17" s="105" t="s">
        <v>70</v>
      </c>
      <c r="T17" s="101" t="s">
        <v>78</v>
      </c>
    </row>
    <row r="18" spans="4:20" ht="15.75" thickBot="1" x14ac:dyDescent="0.3">
      <c r="D18" s="102">
        <f>(1/(B4*B6))*((B15)/(B2*B5)*((B7)/(B3*B8)+B9)+(B16*B7)/(B3))</f>
        <v>510.79249795475152</v>
      </c>
      <c r="E18" s="100">
        <v>0.57999999999999996</v>
      </c>
      <c r="F18" s="104">
        <f>(1/(B4*B6))*((B15/(E18*B5)*((B7)/(B3*B8)+B9)+(B16*B7)/B3))</f>
        <v>533.44939644163992</v>
      </c>
      <c r="G18" s="79">
        <v>0.32</v>
      </c>
      <c r="H18" s="104">
        <f>(1/(B4*B6))*((B15/(B2*B5)*((B7)/(G18*B8)+B9)+(B16*B7)/G18))</f>
        <v>559.07399058388683</v>
      </c>
      <c r="I18" s="79">
        <v>0.64</v>
      </c>
      <c r="J18" s="104">
        <f>(1/(I18*B6))*((B15)/(B2*B5)*((B7)/(B3*B8)+B9)+(B16*B7)/(B3))</f>
        <v>546.22872750036231</v>
      </c>
      <c r="K18" s="79">
        <v>0.61</v>
      </c>
      <c r="L18" s="104">
        <f>(1/(B4*B6))*((B15)/(B2*K18)*((B7)/(B3*B8)+B9)+(B16*B7)/(B3))</f>
        <v>536.35782418070278</v>
      </c>
      <c r="M18" s="79">
        <v>16</v>
      </c>
      <c r="N18" s="104">
        <f>(1/(B4*M18))*((B15)/(B2*B5)*((B7)/(B3*B8)+B9)+(B16*B7)/(B3))</f>
        <v>638.49062244343929</v>
      </c>
      <c r="O18" s="79">
        <v>23</v>
      </c>
      <c r="P18" s="104">
        <f>(1/(B4*B6))*((B15)/(B2*B5)*((O18)/(B3*B8)+B9)+(B16*O18)/(B3))</f>
        <v>456.44673372203562</v>
      </c>
      <c r="Q18" s="79">
        <v>42</v>
      </c>
      <c r="R18" s="104">
        <f>(1/(B4*B6))*((B15)/(B2*B5)*((B7)/(B3*Q18)+B9)+(B16*B7)/(B3))</f>
        <v>529.71572625452131</v>
      </c>
      <c r="S18" s="79">
        <v>1</v>
      </c>
      <c r="T18" s="104">
        <f>(1/(B4*B6))*((B15)/(B2*B5)*((B7)/(B3*B8)+S18)+(B16*B7)/(B3))</f>
        <v>465.05645543211978</v>
      </c>
    </row>
    <row r="19" spans="4:20" x14ac:dyDescent="0.25">
      <c r="E19" s="79">
        <v>0.6</v>
      </c>
      <c r="F19" s="78">
        <f>(1/(B4*B6))*((B15/(E19*B5)*((B7)/(B3*B8)+B9)+(B16*B7)/B3))</f>
        <v>521.93167581034459</v>
      </c>
      <c r="G19" s="79">
        <v>0.34</v>
      </c>
      <c r="H19" s="78">
        <f>(1/(B4*B6))*((B15/(B2*B5)*((B7)/(G19*B8)+B9)+(B16*B7)/G19))</f>
        <v>535.14740402234861</v>
      </c>
      <c r="I19" s="79">
        <v>0.66</v>
      </c>
      <c r="J19" s="78">
        <f>(1/(I19*B6))*((B15)/(B2*B5)*((B7)/(B3*B8)+B9)+(B16*B7)/(B3))</f>
        <v>529.67634181853316</v>
      </c>
      <c r="K19" s="79">
        <v>0.63</v>
      </c>
      <c r="L19" s="78">
        <f>(1/(B4*B6))*((B15)/(B2*K19)*((B7)/(B3*B8)+B9)+(B16*B7)/(B3))</f>
        <v>525.29623539727652</v>
      </c>
      <c r="M19" s="79">
        <v>18</v>
      </c>
      <c r="N19" s="78">
        <f>(1/(B4*M19))*((B15)/(B2*B5)*((B7)/(B3*B8)+B9)+(B16*B7)/(B3))</f>
        <v>567.54721994972385</v>
      </c>
      <c r="O19" s="79">
        <v>25</v>
      </c>
      <c r="P19" s="78">
        <f>(1/(B4*B6))*((B15)/(B2*B5)*((O19)/(B3*B8)+B9)+(B16*O19)/(B3))</f>
        <v>482.89236108588761</v>
      </c>
      <c r="Q19" s="79">
        <v>44</v>
      </c>
      <c r="R19" s="78">
        <f>(1/(B4*B6))*((B15)/(B2*B5)*((B7)/(B3*Q19)+B9)+(B16*B7)/(B3))</f>
        <v>521.10318399479388</v>
      </c>
      <c r="S19" s="79">
        <v>1.2</v>
      </c>
      <c r="T19" s="78">
        <f>(1/(B4*B6))*((B15)/(B2*B5)*((B7)/(B3*B8)+S19)+(B16*B7)/(B3))</f>
        <v>486.37365073514081</v>
      </c>
    </row>
    <row r="20" spans="4:20" x14ac:dyDescent="0.25">
      <c r="E20" s="79">
        <v>0.62070000000000003</v>
      </c>
      <c r="F20" s="78">
        <f>(1/(B4*B6))*((B15/(E20*B5)*((B7)/(B3*B8)+B9)+(B16*B7)/B3))</f>
        <v>510.79249795475152</v>
      </c>
      <c r="G20" s="79">
        <v>0.36309999999999998</v>
      </c>
      <c r="H20" s="78">
        <f>(1/(B4*B6))*((B15/(B2*B5)*((B7)/(G20*B8)+B9)+(B16*B7)/G20))</f>
        <v>510.79249795475152</v>
      </c>
      <c r="I20" s="79">
        <v>0.68440000000000001</v>
      </c>
      <c r="J20" s="78">
        <f>(1/(I20*B6))*((B15)/(B2*B5)*((B7)/(B3*B8)+B9)+(B16*B7)/(B3))</f>
        <v>510.79249795475152</v>
      </c>
      <c r="K20" s="79">
        <v>0.6583</v>
      </c>
      <c r="L20" s="78">
        <f>(1/(B4*B6))*((B15)/(B2*K20)*((B7)/(B3*B8)+B9)+(B16*B7)/(B3))</f>
        <v>510.79249795475152</v>
      </c>
      <c r="M20" s="79">
        <v>20</v>
      </c>
      <c r="N20" s="78">
        <f>(1/(B4*M20))*((B15)/(B2*B5)*((B7)/(B3*B8)+B9)+(B16*B7)/(B3))</f>
        <v>510.79249795475152</v>
      </c>
      <c r="O20" s="79">
        <v>27.11</v>
      </c>
      <c r="P20" s="78">
        <f>(1/(B4*B6))*((B15)/(B2*B5)*((O20)/(B3*B8)+B9)+(B16*O20)/(B3))</f>
        <v>510.79249795475152</v>
      </c>
      <c r="Q20" s="79">
        <v>46.66</v>
      </c>
      <c r="R20" s="78">
        <f>(1/(B4*B6))*((B15)/(B2*B5)*((B7)/(B3*Q20)+B9)+(B16*B7)/(B3))</f>
        <v>510.79249795475152</v>
      </c>
      <c r="S20" s="79">
        <v>1.4291</v>
      </c>
      <c r="T20" s="78">
        <f>(1/(B4*B6))*((B15)/(B2*B5)*((B7)/(B3*B8)+S20)+(B16*B7)/(B3))</f>
        <v>510.79249795475152</v>
      </c>
    </row>
    <row r="21" spans="4:20" x14ac:dyDescent="0.25">
      <c r="E21" s="79">
        <v>0.64</v>
      </c>
      <c r="F21" s="78">
        <f>(1/(B4*B6))*((B15/(E21*B5)*((B7)/(B3*B8)+B9)+(B16*B7)/B3))</f>
        <v>501.05580716612178</v>
      </c>
      <c r="G21" s="79">
        <v>0.38</v>
      </c>
      <c r="H21" s="78">
        <f>(1/(B4*B6))*((B15/(B2*B5)*((B7)/(G21*B8)+B9)+(B16*B7)/G21))</f>
        <v>494.84999507660001</v>
      </c>
      <c r="I21" s="79">
        <v>0.7</v>
      </c>
      <c r="J21" s="78">
        <f>(1/(I21*B6))*((B15)/(B2*B5)*((B7)/(B3*B8)+B9)+(B16*B7)/(B3))</f>
        <v>499.40912228604554</v>
      </c>
      <c r="K21" s="79">
        <v>0.67</v>
      </c>
      <c r="L21" s="78">
        <f>(1/(B4*B6))*((B15)/(B2*K21)*((B7)/(B3*B8)+B9)+(B16*B7)/(B3))</f>
        <v>505.15423791103802</v>
      </c>
      <c r="M21" s="79">
        <v>22</v>
      </c>
      <c r="N21" s="78">
        <f>(1/(B4*M21))*((B15)/(B2*B5)*((B7)/(B3*B8)+B9)+(B16*B7)/(B3))</f>
        <v>464.35681632250134</v>
      </c>
      <c r="O21" s="79">
        <v>29</v>
      </c>
      <c r="P21" s="78">
        <f>(1/(B4*B6))*((B15)/(B2*B5)*((O21)/(B3*B8)+B9)+(B16*O21)/(B3))</f>
        <v>535.78361581359161</v>
      </c>
      <c r="Q21" s="79">
        <v>48</v>
      </c>
      <c r="R21" s="78">
        <f>(1/(B4*B6))*((B15)/(B2*B5)*((B7)/(B3*Q21)+B9)+(B16*B7)/(B3))</f>
        <v>506.03123504027081</v>
      </c>
      <c r="S21" s="79">
        <v>1.6</v>
      </c>
      <c r="T21" s="78">
        <f>(1/(B4*B6))*((B15)/(B2*B5)*((B7)/(B3*B8)+S21)+(B16*B7)/(B3))</f>
        <v>529.008041341183</v>
      </c>
    </row>
    <row r="22" spans="4:20" x14ac:dyDescent="0.25">
      <c r="E22" s="79">
        <v>0.66</v>
      </c>
      <c r="F22" s="78">
        <f>(1/(B4*B6))*((B15/(E22*B5)*((B7)/(B3*B8)+B9)+(B16*B7)/B3))</f>
        <v>491.56677596420229</v>
      </c>
      <c r="G22" s="79">
        <v>0.4</v>
      </c>
      <c r="H22" s="78">
        <f>(1/(B4*B6))*((B15/(B2*B5)*((B7)/(G22*B8)+B9)+(B16*B7)/G23))</f>
        <v>469.60062663045932</v>
      </c>
      <c r="I22" s="79">
        <v>0.72</v>
      </c>
      <c r="J22" s="78">
        <f>(1/(I22*B6))*((B15)/(B2*B5)*((B7)/(B3*B8)+B9)+(B16*B7)/(B3))</f>
        <v>485.53664666698882</v>
      </c>
      <c r="K22" s="79">
        <v>0.69</v>
      </c>
      <c r="L22" s="78">
        <f>(1/(B4*B6))*((B15)/(B2*K22)*((B7)/(B3*B8)+B9)+(B16*B7)/(B3))</f>
        <v>495.95897818905951</v>
      </c>
      <c r="M22" s="79">
        <v>24</v>
      </c>
      <c r="N22" s="78">
        <f>(1/(B4*M22))*((B15)/(B2*B5)*((B7)/(B3*B8)+B9)+(B16*B7)/(B3))</f>
        <v>425.66041496229292</v>
      </c>
      <c r="O22" s="79">
        <v>31</v>
      </c>
      <c r="P22" s="78">
        <f>(1/(B4*B6))*((B15)/(B2*B5)*((O22)/(B3*B8)+B9)+(B16*O22)/(B3))</f>
        <v>562.22924317744378</v>
      </c>
      <c r="Q22" s="79">
        <v>50</v>
      </c>
      <c r="R22" s="78">
        <f>(1/(B4*B6))*((B15)/(B2*B5)*((B7)/(B3*Q22)+B9)+(B16*B7)/(B3))</f>
        <v>499.39957750028054</v>
      </c>
      <c r="S22" s="79">
        <v>1.8</v>
      </c>
      <c r="T22" s="78">
        <f>(1/(B4*B6))*((B15)/(B2*B5)*((B7)/(B3*B8)+S22)+(B16*B7)/(B3))</f>
        <v>550.3252366442041</v>
      </c>
    </row>
    <row r="23" spans="4:20" x14ac:dyDescent="0.25">
      <c r="E23" s="79">
        <v>0.68</v>
      </c>
      <c r="F23" s="78">
        <f>(1/(B4*B6))*((B15/(E23*B5)*((B7)/(B3*B8)+B9)+(B16*B7)/B3))</f>
        <v>482.63592306827809</v>
      </c>
      <c r="G23" s="79">
        <v>0.42</v>
      </c>
      <c r="H23" s="78">
        <f>(1/(B4*B6))*((B15/(B2*B5)*((B7)/(G23*B8)+B9)+(B16*B7)/G23))</f>
        <v>462.22828307289882</v>
      </c>
      <c r="I23" s="79">
        <v>0.74</v>
      </c>
      <c r="J23" s="78">
        <f>(1/(I23*B6))*((B15)/(B2*B5)*((B7)/(B3*B8)+B9)+(B16*B7)/(B3))</f>
        <v>472.41403459490795</v>
      </c>
      <c r="K23" s="79">
        <v>0.71</v>
      </c>
      <c r="L23" s="78">
        <f>(1/(B4*B6))*((B15)/(B2*K23)*((B7)/(B3*B8)+B9)+(B16*B7)/(B3))</f>
        <v>487.2817612683192</v>
      </c>
      <c r="M23" s="79">
        <v>26</v>
      </c>
      <c r="N23" s="78">
        <f>(1/(B4*M23))*((B15)/(B2*B5)*((B7)/(B3*B8)+B9)+(B16*B7)/(B3))</f>
        <v>392.91730611903961</v>
      </c>
      <c r="O23" s="79">
        <v>33</v>
      </c>
      <c r="P23" s="78">
        <f>(1/(B4*B6))*((B15)/(B2*B5)*((O23)/(B3*B8)+B9)+(B16*O23)/(B3))</f>
        <v>588.67487054129572</v>
      </c>
      <c r="Q23" s="79">
        <v>52</v>
      </c>
      <c r="R23" s="78">
        <f>(1/(B4*B6))*((B15)/(B2*B5)*((B7)/(B3*Q23)+B9)+(B16*B7)/(B3))</f>
        <v>493.27804746336665</v>
      </c>
      <c r="S23" s="79">
        <v>2</v>
      </c>
      <c r="T23" s="78">
        <f>(1/(B4*B6))*((B15)/(B2*B5)*((B7)/(B3*B8)+S23)+(B16*B7)/(B3))</f>
        <v>571.64243194722519</v>
      </c>
    </row>
    <row r="24" spans="4:20" ht="15.75" thickBot="1" x14ac:dyDescent="0.3"/>
    <row r="25" spans="4:20" x14ac:dyDescent="0.25">
      <c r="D25" s="101" t="s">
        <v>79</v>
      </c>
      <c r="E25" s="103" t="s">
        <v>63</v>
      </c>
      <c r="F25" s="101" t="s">
        <v>79</v>
      </c>
      <c r="G25" s="105" t="s">
        <v>64</v>
      </c>
      <c r="H25" s="101" t="s">
        <v>79</v>
      </c>
      <c r="I25" s="105" t="s">
        <v>66</v>
      </c>
      <c r="J25" s="101" t="s">
        <v>79</v>
      </c>
      <c r="K25" s="105" t="s">
        <v>67</v>
      </c>
      <c r="L25" s="101" t="s">
        <v>79</v>
      </c>
      <c r="M25" s="105" t="s">
        <v>68</v>
      </c>
      <c r="N25" s="101" t="s">
        <v>79</v>
      </c>
      <c r="O25" s="105" t="s">
        <v>69</v>
      </c>
      <c r="P25" s="101" t="s">
        <v>79</v>
      </c>
      <c r="Q25" s="105" t="s">
        <v>70</v>
      </c>
      <c r="R25" s="101" t="s">
        <v>79</v>
      </c>
      <c r="S25" s="103" t="s">
        <v>71</v>
      </c>
      <c r="T25" s="101" t="s">
        <v>79</v>
      </c>
    </row>
    <row r="26" spans="4:20" ht="15.75" thickBot="1" x14ac:dyDescent="0.3">
      <c r="D26" s="102">
        <f>((1)/(B10*B6))*((B15)/(B5*B2)*((1)/(B3*B8)+(B9/B7))+B16/B3)</f>
        <v>18.822227827724891</v>
      </c>
      <c r="E26" s="100">
        <v>0.57999999999999996</v>
      </c>
      <c r="F26" s="104">
        <f>((1)/(B10*B6))*((B15)/(B5*E26)*((1)/(B3*B8)+(B9/B7))+B16/B3)</f>
        <v>19.657113435672144</v>
      </c>
      <c r="G26" s="79">
        <v>0.32</v>
      </c>
      <c r="H26" s="104">
        <f>((1)/(B10*B6))*((B15)/(B5*B2)*((1)/(G26*B8)+(B9/B7))+B16/G26)</f>
        <v>20.601355864583233</v>
      </c>
      <c r="I26" s="79">
        <v>0.61</v>
      </c>
      <c r="J26" s="104">
        <f>((1)/(B10*B6))*((B15)/(I26*B2)*((1)/(B3*B8)+(B9/B7))+B16/B3)</f>
        <v>19.764286289119113</v>
      </c>
      <c r="K26" s="79">
        <v>16</v>
      </c>
      <c r="L26" s="104">
        <f>((1)/(B10*K26))*((B15)/(B5*B2)*((1)/(B3*B8)+(B9/B7))+B16/B3)</f>
        <v>23.527784784656113</v>
      </c>
      <c r="M26" s="79">
        <v>23</v>
      </c>
      <c r="N26" s="104">
        <f>((1)/(B10*B6))*((B15)/(B5*B2)*((1)/(B3*B8)+(B9/M26))+B16/B3)</f>
        <v>19.825233038614552</v>
      </c>
      <c r="O26" s="79">
        <v>42</v>
      </c>
      <c r="P26" s="104">
        <f>((1)/(B10*B6))*((B15)/(B5*B2)*((1)/(B3*O26)+(B9/B7))+B16/B3)</f>
        <v>19.519531166596302</v>
      </c>
      <c r="Q26" s="79">
        <v>1</v>
      </c>
      <c r="R26" s="104">
        <f>((1)/(B10*B6))*((B15)/(B5*B2)*((1)/(B3*B8)+(Q26/B7))+B16/B3)</f>
        <v>17.136897256609601</v>
      </c>
      <c r="S26" s="79">
        <v>0.64</v>
      </c>
      <c r="T26" s="104">
        <f>((1)/(S26*B6))*((B15)/(B5*B2)*((1)/(B3*B8)+(B9/B7))+B16/B3)</f>
        <v>20.148606694959881</v>
      </c>
    </row>
    <row r="27" spans="4:20" x14ac:dyDescent="0.25">
      <c r="E27" s="79">
        <v>0.6</v>
      </c>
      <c r="F27" s="78">
        <f>((1)/(B10*B6))*((B15)/(B5*E27)*((1)/(B3*B8)+(B9/B7))+B16/B3)</f>
        <v>19.232696157332374</v>
      </c>
      <c r="G27" s="79">
        <v>0.34</v>
      </c>
      <c r="H27" s="78">
        <f>((1)/(B10*B6))*((B15)/(B5*B2)*((1)/(G27*B8)+(B9/B7))+B16/G27)</f>
        <v>19.719683433597474</v>
      </c>
      <c r="I27" s="79">
        <v>0.63</v>
      </c>
      <c r="J27" s="78">
        <f>((1)/(B10*B6))*((B15)/(I27*B2)*((1)/(B3*B8)+(B9/B7))+B16/B3)</f>
        <v>19.35667704455911</v>
      </c>
      <c r="K27" s="79">
        <v>18</v>
      </c>
      <c r="L27" s="78">
        <f>((1)/(B10*K27))*((B15)/(B5*B2)*((1)/(B3*B8)+(B9/B7))+B16/B3)</f>
        <v>20.913586475249879</v>
      </c>
      <c r="M27" s="79">
        <v>25</v>
      </c>
      <c r="N27" s="78">
        <f>((1)/(B10*B6))*((B15)/(B5*B2)*((1)/(B3*B8)+(B9/M27))+B16/B3)</f>
        <v>19.29595865871735</v>
      </c>
      <c r="O27" s="79">
        <v>44</v>
      </c>
      <c r="P27" s="78">
        <f>((1)/(B10*B6))*((B15)/(B5*B2)*((1)/(B3*O27)+(B9/B7))+B16/B3)</f>
        <v>19.202167005537582</v>
      </c>
      <c r="Q27" s="79">
        <v>1.2</v>
      </c>
      <c r="R27" s="78">
        <f>((1)/(B10*B6))*((B15)/(B5*B2)*((1)/(B3*B8)+(Q27/B7))+B16/B3)</f>
        <v>17.922416049951611</v>
      </c>
      <c r="S27" s="79">
        <v>0.66</v>
      </c>
      <c r="T27" s="78">
        <f>((1)/(S27*B6))*((B15)/(B5*B2)*((1)/(B3*B8)+(B9/B7))+B16/B3)</f>
        <v>19.538042855718668</v>
      </c>
    </row>
    <row r="28" spans="4:20" x14ac:dyDescent="0.25">
      <c r="E28" s="79">
        <v>0.62070000000000003</v>
      </c>
      <c r="F28" s="78">
        <f>((1)/(B10*B6))*((B15)/(B5*E28)*((1)/(B3*B8)+(B9/B7))+B16/B3)</f>
        <v>18.822227827724891</v>
      </c>
      <c r="G28" s="79">
        <v>0.36309999999999998</v>
      </c>
      <c r="H28" s="78">
        <f>((1)/(B10*B6))*((B15)/(B5*B2)*((1)/(G28*B8)+(B9/B7))+B16/G28)</f>
        <v>18.822227827724891</v>
      </c>
      <c r="I28" s="79">
        <v>0.6583</v>
      </c>
      <c r="J28" s="78">
        <f>((1)/(B10*B6))*((B15)/(I28*B2)*((1)/(B3*B8)+(B9/B7))+B16/B3)</f>
        <v>18.822227827724891</v>
      </c>
      <c r="K28" s="79">
        <v>20</v>
      </c>
      <c r="L28" s="78">
        <f>((1)/(B10*K28))*((B15)/(B5*B2)*((1)/(B3*B8)+(B9/B7))+B16/B3)</f>
        <v>18.822227827724891</v>
      </c>
      <c r="M28" s="79">
        <v>27.11</v>
      </c>
      <c r="N28" s="78">
        <f>((1)/(B10*B6))*((B15)/(B5*B2)*((1)/(B3*B8)+(B9/M28))+B16/B3)</f>
        <v>18.822227827724891</v>
      </c>
      <c r="O28" s="79">
        <v>46.66</v>
      </c>
      <c r="P28" s="78">
        <f>((1)/(B10*B6))*((B15)/(B5*B2)*((1)/(B3*O28)+(B9/B7))+B16/B3)</f>
        <v>18.822227827724891</v>
      </c>
      <c r="Q28" s="79">
        <v>1.4291</v>
      </c>
      <c r="R28" s="78">
        <f>((1)/(B10*B6))*((B15)/(B5*B2)*((1)/(B3*B8)+(Q28/B7))+B16/B3)</f>
        <v>18.822227827724891</v>
      </c>
      <c r="S28" s="79">
        <v>0.68520000000000003</v>
      </c>
      <c r="T28" s="78">
        <f>((1)/(S28*B6))*((B15)/(B5*B2)*((1)/(B3*B8)+(B9/B7))+B16/B3)</f>
        <v>18.819480859273675</v>
      </c>
    </row>
    <row r="29" spans="4:20" x14ac:dyDescent="0.25">
      <c r="E29" s="79">
        <v>0.64</v>
      </c>
      <c r="F29" s="78">
        <f>((1)/(B10*B6))*((B15)/(B5*E29)*((1)/(B3*B8)+(B9/B7))+B16/B3)</f>
        <v>18.46343984034154</v>
      </c>
      <c r="G29" s="79">
        <v>0.38</v>
      </c>
      <c r="H29" s="78">
        <f>((1)/(B10*B6))*((B15)/(B5*B2)*((1)/(G29*B8)+(B9/B7))+B16/G29)</f>
        <v>18.234761444568832</v>
      </c>
      <c r="I29" s="79">
        <v>0.67</v>
      </c>
      <c r="J29" s="78">
        <f>((1)/(B10*B6))*((B15)/(I29*B2)*((1)/(B3*B8)+(B9/B7))+B16/B3)</f>
        <v>18.614463196255823</v>
      </c>
      <c r="K29" s="79">
        <v>22</v>
      </c>
      <c r="L29" s="78">
        <f>((1)/(B10*K29))*((B15)/(B5*B2)*((1)/(B3*B8)+(B9/B7))+B16/B3)</f>
        <v>17.111116207022629</v>
      </c>
      <c r="M29" s="79">
        <v>29</v>
      </c>
      <c r="N29" s="78">
        <f>((1)/(B10*B6))*((B15)/(B5*B2)*((1)/(B3*B8)+(B9/M29))+B16/B3)</f>
        <v>18.45641998715627</v>
      </c>
      <c r="O29" s="79">
        <v>48</v>
      </c>
      <c r="P29" s="78">
        <f>((1)/(B10*B6))*((B15)/(B5*B2)*((1)/(B3*O29)+(B9/B7))+B16/B3)</f>
        <v>18.646779723684819</v>
      </c>
      <c r="Q29" s="79">
        <v>1.6</v>
      </c>
      <c r="R29" s="78">
        <f>((1)/(B10*B6))*((B15)/(B5*B2)*((1)/(B3*B8)+(Q29/B7))+B16/B3)</f>
        <v>19.493453636635643</v>
      </c>
      <c r="S29" s="79">
        <v>0.7</v>
      </c>
      <c r="T29" s="78">
        <f>((1)/(S29*B6))*((B15)/(B5*B2)*((1)/(B3*B8)+(B9/B7))+B16/B3)</f>
        <v>18.421583263963317</v>
      </c>
    </row>
    <row r="30" spans="4:20" x14ac:dyDescent="0.25">
      <c r="E30" s="79">
        <v>0.66</v>
      </c>
      <c r="F30" s="78">
        <f>((1)/(B10*B6))*((B15)/(B5*E30)*((1)/(B3*B8)+(B9/B7))+B16/B3)</f>
        <v>18.113777878072977</v>
      </c>
      <c r="G30" s="79">
        <v>0.4</v>
      </c>
      <c r="H30" s="78">
        <f>((1)/(B10*B6))*((B15)/(B5*B2)*((1)/(G30*B8)+(B9/B7))+B16/G30)</f>
        <v>17.603669599231658</v>
      </c>
      <c r="I30" s="79">
        <v>0.69</v>
      </c>
      <c r="J30" s="78">
        <f>((1)/(B10*B6))*((B15)/(I30*B2)*((1)/(B3*B8)+(B9/B7))+B16/B3)</f>
        <v>18.275626439421714</v>
      </c>
      <c r="K30" s="79">
        <v>24</v>
      </c>
      <c r="L30" s="78">
        <f>((1)/(B10*K30))*((B15)/(B5*B2)*((1)/(B3*B8)+(B9/B7))+B16/B3)</f>
        <v>15.685189856437411</v>
      </c>
      <c r="M30" s="79">
        <v>31</v>
      </c>
      <c r="N30" s="78">
        <f>((1)/(B10*B6))*((B15)/(B5*B2)*((1)/(B3*B8)+(B9/M30))+B16/B3)</f>
        <v>18.117896329268742</v>
      </c>
      <c r="O30" s="79">
        <v>50</v>
      </c>
      <c r="P30" s="78">
        <f>((1)/(B10*B6))*((B15)/(B5*B2)*((1)/(B3*O30)+(B9/B7))+B16/B3)</f>
        <v>18.402409319669601</v>
      </c>
      <c r="Q30" s="79">
        <v>1.8</v>
      </c>
      <c r="R30" s="78">
        <f>((1)/(B10*B6))*((B15)/(B5*B2)*((1)/(B3*B8)+(Q30/B7))+B16/B3)</f>
        <v>20.278972429977653</v>
      </c>
      <c r="S30" s="79">
        <v>0.72</v>
      </c>
      <c r="T30" s="78">
        <f>((1)/(S30*B6))*((B15)/(B5*B2)*((1)/(B3*B8)+(B9/B7))+B16/B3)</f>
        <v>17.909872617742117</v>
      </c>
    </row>
    <row r="31" spans="4:20" x14ac:dyDescent="0.25">
      <c r="E31" s="79">
        <v>0.68</v>
      </c>
      <c r="F31" s="78">
        <f>((1)/(B10*B6))*((B15)/(B5*E31)*((1)/(B3*B8)+(B9/B7))+B16/B3)</f>
        <v>17.784684266526099</v>
      </c>
      <c r="G31" s="79">
        <v>0.42</v>
      </c>
      <c r="H31" s="78">
        <f>((1)/(B10*B6))*((B15)/(B5*B2)*((1)/(G31*B8)+(B9/B7))+B16/G31)</f>
        <v>17.032681739164694</v>
      </c>
      <c r="I31" s="79">
        <v>0.71</v>
      </c>
      <c r="J31" s="78">
        <f>((1)/(B10*B6))*((B15)/(I31*B2)*((1)/(B3*B8)+(B9/B7))+B16/B3)</f>
        <v>17.955879077338821</v>
      </c>
      <c r="K31" s="79">
        <v>26</v>
      </c>
      <c r="L31" s="78">
        <f>((1)/(B10*K31))*((B15)/(B5*B2)*((1)/(B3*B8)+(B9/B7))+B16/B3)</f>
        <v>14.478636790557609</v>
      </c>
      <c r="M31" s="79">
        <v>33</v>
      </c>
      <c r="N31" s="78">
        <f>((1)/(B10*B6))*((B15)/(B5*B2)*((1)/(B3*B8)+(B9/M31))+B16/B3)</f>
        <v>17.820405842034244</v>
      </c>
      <c r="O31" s="79">
        <v>52</v>
      </c>
      <c r="P31" s="78">
        <f>((1)/(B10*B6))*((B15)/(B5*B2)*((1)/(B3*O31)+(B9/B7))+B16/B3)</f>
        <v>18.176836639040172</v>
      </c>
      <c r="Q31" s="79">
        <v>2</v>
      </c>
      <c r="R31" s="78">
        <f>((1)/(B10*B6))*((B15)/(B5*B2)*((1)/(B3*B8)+(Q31/B7))+B16/B3)</f>
        <v>21.064491223319671</v>
      </c>
      <c r="S31" s="79">
        <v>0.74</v>
      </c>
      <c r="T31" s="78">
        <f>((1)/(S31*B6))*((B15)/(B5*B2)*((1)/(B3*B8)+(B9/B7))+B16/B3)</f>
        <v>17.425822006451785</v>
      </c>
    </row>
  </sheetData>
  <mergeCells count="1">
    <mergeCell ref="A1:B1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Troskovi</vt:lpstr>
      <vt:lpstr>Promena troskova</vt:lpstr>
      <vt:lpstr>Dijagrami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Marija Djordjevic</cp:lastModifiedBy>
  <dcterms:created xsi:type="dcterms:W3CDTF">2014-05-06T16:04:55Z</dcterms:created>
  <dcterms:modified xsi:type="dcterms:W3CDTF">2015-02-12T11:06:23Z</dcterms:modified>
</cp:coreProperties>
</file>