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3290" windowHeight="126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Sheet1!$R$2:$AM$23</definedName>
    <definedName name="domacin">Sheet1!$A$4:$A$383</definedName>
    <definedName name="Dvojka">Sheet1!$M$4:$M$383</definedName>
    <definedName name="golovi1">Sheet1!$E$4:$E$383</definedName>
    <definedName name="golovi2">Sheet1!$G$4:$G$383</definedName>
    <definedName name="gost">Sheet1!$C$4:$C$383</definedName>
    <definedName name="IKS">Sheet1!$L$4:$L$383</definedName>
    <definedName name="KEC">Sheet1!$K$4:$K$383</definedName>
  </definedNames>
  <calcPr calcId="125725"/>
</workbook>
</file>

<file path=xl/calcChain.xml><?xml version="1.0" encoding="utf-8"?>
<calcChain xmlns="http://schemas.openxmlformats.org/spreadsheetml/2006/main">
  <c r="K5" i="1"/>
  <c r="L5"/>
  <c r="M5"/>
  <c r="K6"/>
  <c r="L6"/>
  <c r="M6"/>
  <c r="K7"/>
  <c r="L7"/>
  <c r="M7"/>
  <c r="K8"/>
  <c r="L8"/>
  <c r="M8"/>
  <c r="K9"/>
  <c r="L9"/>
  <c r="M9"/>
  <c r="K10"/>
  <c r="L10"/>
  <c r="M10"/>
  <c r="K11"/>
  <c r="L11"/>
  <c r="M11"/>
  <c r="K12"/>
  <c r="L12"/>
  <c r="M12"/>
  <c r="K13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K34"/>
  <c r="L34"/>
  <c r="M34"/>
  <c r="K35"/>
  <c r="L35"/>
  <c r="M35"/>
  <c r="K36"/>
  <c r="L36"/>
  <c r="M36"/>
  <c r="K37"/>
  <c r="L37"/>
  <c r="M37"/>
  <c r="K38"/>
  <c r="L38"/>
  <c r="M38"/>
  <c r="K39"/>
  <c r="L39"/>
  <c r="M39"/>
  <c r="K40"/>
  <c r="L40"/>
  <c r="M40"/>
  <c r="K41"/>
  <c r="L41"/>
  <c r="M41"/>
  <c r="K42"/>
  <c r="L42"/>
  <c r="M42"/>
  <c r="K43"/>
  <c r="L43"/>
  <c r="M43"/>
  <c r="K44"/>
  <c r="L44"/>
  <c r="M44"/>
  <c r="K45"/>
  <c r="L45"/>
  <c r="M45"/>
  <c r="K46"/>
  <c r="L46"/>
  <c r="M46"/>
  <c r="K47"/>
  <c r="L47"/>
  <c r="M47"/>
  <c r="K48"/>
  <c r="L48"/>
  <c r="M48"/>
  <c r="K49"/>
  <c r="L49"/>
  <c r="M49"/>
  <c r="K50"/>
  <c r="L50"/>
  <c r="M50"/>
  <c r="K51"/>
  <c r="L51"/>
  <c r="M51"/>
  <c r="K52"/>
  <c r="L52"/>
  <c r="M52"/>
  <c r="K53"/>
  <c r="L53"/>
  <c r="M53"/>
  <c r="K54"/>
  <c r="L54"/>
  <c r="M54"/>
  <c r="K55"/>
  <c r="L55"/>
  <c r="M55"/>
  <c r="K56"/>
  <c r="L56"/>
  <c r="M56"/>
  <c r="K57"/>
  <c r="L57"/>
  <c r="M57"/>
  <c r="K58"/>
  <c r="L58"/>
  <c r="M58"/>
  <c r="K59"/>
  <c r="L59"/>
  <c r="M59"/>
  <c r="K60"/>
  <c r="L60"/>
  <c r="M60"/>
  <c r="K61"/>
  <c r="L61"/>
  <c r="M61"/>
  <c r="K62"/>
  <c r="L62"/>
  <c r="M62"/>
  <c r="K63"/>
  <c r="L63"/>
  <c r="M63"/>
  <c r="K64"/>
  <c r="L64"/>
  <c r="M64"/>
  <c r="K65"/>
  <c r="L65"/>
  <c r="M65"/>
  <c r="K66"/>
  <c r="L66"/>
  <c r="M66"/>
  <c r="K67"/>
  <c r="L67"/>
  <c r="M67"/>
  <c r="K68"/>
  <c r="L68"/>
  <c r="M68"/>
  <c r="K69"/>
  <c r="L69"/>
  <c r="M69"/>
  <c r="K70"/>
  <c r="L70"/>
  <c r="M70"/>
  <c r="K71"/>
  <c r="L71"/>
  <c r="M71"/>
  <c r="K72"/>
  <c r="L72"/>
  <c r="M72"/>
  <c r="K73"/>
  <c r="L73"/>
  <c r="M73"/>
  <c r="K74"/>
  <c r="L74"/>
  <c r="M74"/>
  <c r="K75"/>
  <c r="L75"/>
  <c r="M75"/>
  <c r="K76"/>
  <c r="L76"/>
  <c r="M76"/>
  <c r="K77"/>
  <c r="L77"/>
  <c r="M77"/>
  <c r="K78"/>
  <c r="L78"/>
  <c r="M78"/>
  <c r="K79"/>
  <c r="L79"/>
  <c r="M79"/>
  <c r="K80"/>
  <c r="L80"/>
  <c r="M80"/>
  <c r="K81"/>
  <c r="L81"/>
  <c r="M81"/>
  <c r="K82"/>
  <c r="L82"/>
  <c r="M82"/>
  <c r="K83"/>
  <c r="L83"/>
  <c r="M83"/>
  <c r="K84"/>
  <c r="L84"/>
  <c r="M84"/>
  <c r="K85"/>
  <c r="L85"/>
  <c r="M85"/>
  <c r="K86"/>
  <c r="L86"/>
  <c r="M86"/>
  <c r="K87"/>
  <c r="L87"/>
  <c r="M87"/>
  <c r="K88"/>
  <c r="L88"/>
  <c r="M88"/>
  <c r="K89"/>
  <c r="L89"/>
  <c r="M89"/>
  <c r="K90"/>
  <c r="L90"/>
  <c r="M90"/>
  <c r="K91"/>
  <c r="L91"/>
  <c r="M91"/>
  <c r="K92"/>
  <c r="L92"/>
  <c r="M92"/>
  <c r="K93"/>
  <c r="L93"/>
  <c r="M93"/>
  <c r="K94"/>
  <c r="L94"/>
  <c r="M94"/>
  <c r="K95"/>
  <c r="L95"/>
  <c r="M95"/>
  <c r="K96"/>
  <c r="L96"/>
  <c r="M96"/>
  <c r="K97"/>
  <c r="L97"/>
  <c r="M97"/>
  <c r="K98"/>
  <c r="L98"/>
  <c r="M98"/>
  <c r="K99"/>
  <c r="L99"/>
  <c r="M99"/>
  <c r="K100"/>
  <c r="L100"/>
  <c r="M100"/>
  <c r="K101"/>
  <c r="L101"/>
  <c r="M101"/>
  <c r="K102"/>
  <c r="L102"/>
  <c r="M102"/>
  <c r="K103"/>
  <c r="L103"/>
  <c r="M103"/>
  <c r="K104"/>
  <c r="L104"/>
  <c r="M104"/>
  <c r="K105"/>
  <c r="L105"/>
  <c r="M105"/>
  <c r="K106"/>
  <c r="L106"/>
  <c r="M106"/>
  <c r="K107"/>
  <c r="L107"/>
  <c r="M107"/>
  <c r="K108"/>
  <c r="L108"/>
  <c r="M108"/>
  <c r="K109"/>
  <c r="L109"/>
  <c r="M109"/>
  <c r="K110"/>
  <c r="L110"/>
  <c r="M110"/>
  <c r="K111"/>
  <c r="L111"/>
  <c r="M111"/>
  <c r="K112"/>
  <c r="L112"/>
  <c r="M112"/>
  <c r="K113"/>
  <c r="L113"/>
  <c r="M113"/>
  <c r="K114"/>
  <c r="L114"/>
  <c r="M114"/>
  <c r="K115"/>
  <c r="L115"/>
  <c r="M115"/>
  <c r="K116"/>
  <c r="L116"/>
  <c r="M116"/>
  <c r="K117"/>
  <c r="L117"/>
  <c r="M117"/>
  <c r="K118"/>
  <c r="L118"/>
  <c r="M118"/>
  <c r="K119"/>
  <c r="L119"/>
  <c r="M119"/>
  <c r="K120"/>
  <c r="L120"/>
  <c r="M120"/>
  <c r="K121"/>
  <c r="L121"/>
  <c r="M121"/>
  <c r="K122"/>
  <c r="L122"/>
  <c r="M122"/>
  <c r="K123"/>
  <c r="L123"/>
  <c r="M123"/>
  <c r="K124"/>
  <c r="L124"/>
  <c r="M124"/>
  <c r="K125"/>
  <c r="L125"/>
  <c r="M125"/>
  <c r="K126"/>
  <c r="L126"/>
  <c r="M126"/>
  <c r="K127"/>
  <c r="L127"/>
  <c r="M127"/>
  <c r="K128"/>
  <c r="L128"/>
  <c r="M128"/>
  <c r="K129"/>
  <c r="L129"/>
  <c r="M129"/>
  <c r="K130"/>
  <c r="L130"/>
  <c r="M130"/>
  <c r="K131"/>
  <c r="L131"/>
  <c r="M131"/>
  <c r="K132"/>
  <c r="L132"/>
  <c r="M132"/>
  <c r="K133"/>
  <c r="L133"/>
  <c r="M133"/>
  <c r="K134"/>
  <c r="L134"/>
  <c r="M134"/>
  <c r="K135"/>
  <c r="L135"/>
  <c r="M135"/>
  <c r="K136"/>
  <c r="L136"/>
  <c r="M136"/>
  <c r="K137"/>
  <c r="L137"/>
  <c r="M137"/>
  <c r="K138"/>
  <c r="L138"/>
  <c r="M138"/>
  <c r="K139"/>
  <c r="L139"/>
  <c r="M139"/>
  <c r="K140"/>
  <c r="L140"/>
  <c r="M140"/>
  <c r="K141"/>
  <c r="L141"/>
  <c r="M141"/>
  <c r="K142"/>
  <c r="L142"/>
  <c r="M142"/>
  <c r="K143"/>
  <c r="L143"/>
  <c r="M143"/>
  <c r="K144"/>
  <c r="L144"/>
  <c r="M144"/>
  <c r="K145"/>
  <c r="L145"/>
  <c r="M145"/>
  <c r="K146"/>
  <c r="L146"/>
  <c r="M146"/>
  <c r="K147"/>
  <c r="L147"/>
  <c r="M147"/>
  <c r="K148"/>
  <c r="L148"/>
  <c r="M148"/>
  <c r="K149"/>
  <c r="L149"/>
  <c r="M149"/>
  <c r="K150"/>
  <c r="L150"/>
  <c r="M150"/>
  <c r="K151"/>
  <c r="L151"/>
  <c r="M151"/>
  <c r="K152"/>
  <c r="L152"/>
  <c r="M152"/>
  <c r="K153"/>
  <c r="L153"/>
  <c r="M153"/>
  <c r="K154"/>
  <c r="L154"/>
  <c r="M154"/>
  <c r="K155"/>
  <c r="L155"/>
  <c r="M155"/>
  <c r="K156"/>
  <c r="L156"/>
  <c r="M156"/>
  <c r="K157"/>
  <c r="L157"/>
  <c r="M157"/>
  <c r="K158"/>
  <c r="L158"/>
  <c r="M158"/>
  <c r="K159"/>
  <c r="L159"/>
  <c r="M159"/>
  <c r="K160"/>
  <c r="L160"/>
  <c r="M160"/>
  <c r="K161"/>
  <c r="L161"/>
  <c r="M161"/>
  <c r="K162"/>
  <c r="L162"/>
  <c r="M162"/>
  <c r="K163"/>
  <c r="L163"/>
  <c r="M163"/>
  <c r="K164"/>
  <c r="L164"/>
  <c r="M164"/>
  <c r="K165"/>
  <c r="L165"/>
  <c r="M165"/>
  <c r="K166"/>
  <c r="L166"/>
  <c r="M166"/>
  <c r="K167"/>
  <c r="L167"/>
  <c r="M167"/>
  <c r="K168"/>
  <c r="L168"/>
  <c r="M168"/>
  <c r="K169"/>
  <c r="L169"/>
  <c r="M169"/>
  <c r="K170"/>
  <c r="L170"/>
  <c r="M170"/>
  <c r="K171"/>
  <c r="L171"/>
  <c r="M171"/>
  <c r="K172"/>
  <c r="L172"/>
  <c r="M172"/>
  <c r="K173"/>
  <c r="L173"/>
  <c r="M173"/>
  <c r="K174"/>
  <c r="L174"/>
  <c r="M174"/>
  <c r="K175"/>
  <c r="L175"/>
  <c r="M175"/>
  <c r="K176"/>
  <c r="L176"/>
  <c r="M176"/>
  <c r="K177"/>
  <c r="L177"/>
  <c r="M177"/>
  <c r="K178"/>
  <c r="L178"/>
  <c r="M178"/>
  <c r="K179"/>
  <c r="L179"/>
  <c r="M179"/>
  <c r="K180"/>
  <c r="L180"/>
  <c r="M180"/>
  <c r="K181"/>
  <c r="L181"/>
  <c r="M181"/>
  <c r="K182"/>
  <c r="L182"/>
  <c r="M182"/>
  <c r="K183"/>
  <c r="L183"/>
  <c r="M183"/>
  <c r="K184"/>
  <c r="L184"/>
  <c r="M184"/>
  <c r="K185"/>
  <c r="L185"/>
  <c r="M185"/>
  <c r="K186"/>
  <c r="L186"/>
  <c r="M186"/>
  <c r="K187"/>
  <c r="L187"/>
  <c r="M187"/>
  <c r="K188"/>
  <c r="L188"/>
  <c r="M188"/>
  <c r="K189"/>
  <c r="L189"/>
  <c r="M189"/>
  <c r="K190"/>
  <c r="L190"/>
  <c r="M190"/>
  <c r="K191"/>
  <c r="L191"/>
  <c r="M191"/>
  <c r="K192"/>
  <c r="L192"/>
  <c r="M192"/>
  <c r="K193"/>
  <c r="L193"/>
  <c r="M193"/>
  <c r="K194"/>
  <c r="L194"/>
  <c r="M194"/>
  <c r="K195"/>
  <c r="L195"/>
  <c r="M195"/>
  <c r="K196"/>
  <c r="L196"/>
  <c r="M196"/>
  <c r="K197"/>
  <c r="L197"/>
  <c r="M197"/>
  <c r="K198"/>
  <c r="L198"/>
  <c r="M198"/>
  <c r="K199"/>
  <c r="L199"/>
  <c r="M199"/>
  <c r="K200"/>
  <c r="L200"/>
  <c r="M200"/>
  <c r="K201"/>
  <c r="L201"/>
  <c r="M201"/>
  <c r="K202"/>
  <c r="L202"/>
  <c r="M202"/>
  <c r="K203"/>
  <c r="L203"/>
  <c r="M203"/>
  <c r="K204"/>
  <c r="L204"/>
  <c r="M204"/>
  <c r="K205"/>
  <c r="L205"/>
  <c r="M205"/>
  <c r="K206"/>
  <c r="L206"/>
  <c r="M206"/>
  <c r="K207"/>
  <c r="L207"/>
  <c r="M207"/>
  <c r="K208"/>
  <c r="L208"/>
  <c r="M208"/>
  <c r="K209"/>
  <c r="L209"/>
  <c r="M209"/>
  <c r="K210"/>
  <c r="L210"/>
  <c r="M210"/>
  <c r="K211"/>
  <c r="L211"/>
  <c r="M211"/>
  <c r="K212"/>
  <c r="L212"/>
  <c r="M212"/>
  <c r="K213"/>
  <c r="L213"/>
  <c r="M213"/>
  <c r="K214"/>
  <c r="L214"/>
  <c r="M214"/>
  <c r="K215"/>
  <c r="L215"/>
  <c r="M215"/>
  <c r="K216"/>
  <c r="L216"/>
  <c r="M216"/>
  <c r="K217"/>
  <c r="L217"/>
  <c r="M217"/>
  <c r="K218"/>
  <c r="L218"/>
  <c r="M218"/>
  <c r="K219"/>
  <c r="L219"/>
  <c r="M219"/>
  <c r="K220"/>
  <c r="L220"/>
  <c r="M220"/>
  <c r="K221"/>
  <c r="L221"/>
  <c r="M221"/>
  <c r="K222"/>
  <c r="L222"/>
  <c r="M222"/>
  <c r="K223"/>
  <c r="L223"/>
  <c r="M223"/>
  <c r="K224"/>
  <c r="L224"/>
  <c r="M224"/>
  <c r="K225"/>
  <c r="L225"/>
  <c r="M225"/>
  <c r="K226"/>
  <c r="L226"/>
  <c r="M226"/>
  <c r="K227"/>
  <c r="L227"/>
  <c r="M227"/>
  <c r="K228"/>
  <c r="L228"/>
  <c r="M228"/>
  <c r="K229"/>
  <c r="L229"/>
  <c r="M229"/>
  <c r="K230"/>
  <c r="L230"/>
  <c r="M230"/>
  <c r="K231"/>
  <c r="L231"/>
  <c r="M231"/>
  <c r="K232"/>
  <c r="L232"/>
  <c r="M232"/>
  <c r="K233"/>
  <c r="L233"/>
  <c r="M233"/>
  <c r="K234"/>
  <c r="L234"/>
  <c r="M234"/>
  <c r="K235"/>
  <c r="L235"/>
  <c r="M235"/>
  <c r="K236"/>
  <c r="L236"/>
  <c r="M236"/>
  <c r="K237"/>
  <c r="L237"/>
  <c r="M237"/>
  <c r="K238"/>
  <c r="L238"/>
  <c r="M238"/>
  <c r="K239"/>
  <c r="L239"/>
  <c r="M239"/>
  <c r="K240"/>
  <c r="L240"/>
  <c r="M240"/>
  <c r="K241"/>
  <c r="L241"/>
  <c r="M241"/>
  <c r="K242"/>
  <c r="L242"/>
  <c r="M242"/>
  <c r="K243"/>
  <c r="L243"/>
  <c r="M243"/>
  <c r="K244"/>
  <c r="L244"/>
  <c r="M244"/>
  <c r="K245"/>
  <c r="L245"/>
  <c r="M245"/>
  <c r="K246"/>
  <c r="L246"/>
  <c r="M246"/>
  <c r="K247"/>
  <c r="L247"/>
  <c r="M247"/>
  <c r="K248"/>
  <c r="L248"/>
  <c r="M248"/>
  <c r="K249"/>
  <c r="L249"/>
  <c r="M249"/>
  <c r="K250"/>
  <c r="L250"/>
  <c r="M250"/>
  <c r="K251"/>
  <c r="L251"/>
  <c r="M251"/>
  <c r="K252"/>
  <c r="L252"/>
  <c r="M252"/>
  <c r="K253"/>
  <c r="L253"/>
  <c r="M253"/>
  <c r="K254"/>
  <c r="L254"/>
  <c r="M254"/>
  <c r="K255"/>
  <c r="L255"/>
  <c r="M255"/>
  <c r="K256"/>
  <c r="L256"/>
  <c r="M256"/>
  <c r="K257"/>
  <c r="L257"/>
  <c r="M257"/>
  <c r="K258"/>
  <c r="L258"/>
  <c r="M258"/>
  <c r="K259"/>
  <c r="L259"/>
  <c r="M259"/>
  <c r="K260"/>
  <c r="L260"/>
  <c r="M260"/>
  <c r="K261"/>
  <c r="L261"/>
  <c r="M261"/>
  <c r="K262"/>
  <c r="L262"/>
  <c r="M262"/>
  <c r="K263"/>
  <c r="L263"/>
  <c r="M263"/>
  <c r="K264"/>
  <c r="L264"/>
  <c r="M264"/>
  <c r="K265"/>
  <c r="L265"/>
  <c r="M265"/>
  <c r="K266"/>
  <c r="L266"/>
  <c r="M266"/>
  <c r="K267"/>
  <c r="L267"/>
  <c r="M267"/>
  <c r="K268"/>
  <c r="L268"/>
  <c r="M268"/>
  <c r="K269"/>
  <c r="L269"/>
  <c r="M269"/>
  <c r="K270"/>
  <c r="L270"/>
  <c r="M270"/>
  <c r="K271"/>
  <c r="L271"/>
  <c r="M271"/>
  <c r="K272"/>
  <c r="L272"/>
  <c r="M272"/>
  <c r="K273"/>
  <c r="L273"/>
  <c r="M273"/>
  <c r="K274"/>
  <c r="L274"/>
  <c r="M274"/>
  <c r="K275"/>
  <c r="L275"/>
  <c r="M275"/>
  <c r="K276"/>
  <c r="L276"/>
  <c r="M276"/>
  <c r="K277"/>
  <c r="L277"/>
  <c r="M277"/>
  <c r="K278"/>
  <c r="L278"/>
  <c r="M278"/>
  <c r="K279"/>
  <c r="L279"/>
  <c r="M279"/>
  <c r="K280"/>
  <c r="L280"/>
  <c r="M280"/>
  <c r="K281"/>
  <c r="L281"/>
  <c r="M281"/>
  <c r="K282"/>
  <c r="L282"/>
  <c r="M282"/>
  <c r="K283"/>
  <c r="L283"/>
  <c r="M283"/>
  <c r="K284"/>
  <c r="L284"/>
  <c r="M284"/>
  <c r="K285"/>
  <c r="L285"/>
  <c r="M285"/>
  <c r="K286"/>
  <c r="L286"/>
  <c r="M286"/>
  <c r="K287"/>
  <c r="L287"/>
  <c r="M287"/>
  <c r="K288"/>
  <c r="L288"/>
  <c r="M288"/>
  <c r="K289"/>
  <c r="L289"/>
  <c r="M289"/>
  <c r="K290"/>
  <c r="L290"/>
  <c r="M290"/>
  <c r="K291"/>
  <c r="L291"/>
  <c r="M291"/>
  <c r="K292"/>
  <c r="L292"/>
  <c r="M292"/>
  <c r="K293"/>
  <c r="L293"/>
  <c r="M293"/>
  <c r="K294"/>
  <c r="L294"/>
  <c r="M294"/>
  <c r="K295"/>
  <c r="L295"/>
  <c r="M295"/>
  <c r="K296"/>
  <c r="L296"/>
  <c r="M296"/>
  <c r="K297"/>
  <c r="L297"/>
  <c r="M297"/>
  <c r="K298"/>
  <c r="L298"/>
  <c r="M298"/>
  <c r="K299"/>
  <c r="L299"/>
  <c r="M299"/>
  <c r="K300"/>
  <c r="L300"/>
  <c r="M300"/>
  <c r="K301"/>
  <c r="L301"/>
  <c r="M301"/>
  <c r="K302"/>
  <c r="L302"/>
  <c r="M302"/>
  <c r="K303"/>
  <c r="L303"/>
  <c r="M303"/>
  <c r="K304"/>
  <c r="L304"/>
  <c r="M304"/>
  <c r="K305"/>
  <c r="L305"/>
  <c r="M305"/>
  <c r="K306"/>
  <c r="L306"/>
  <c r="M306"/>
  <c r="K307"/>
  <c r="L307"/>
  <c r="M307"/>
  <c r="K308"/>
  <c r="L308"/>
  <c r="M308"/>
  <c r="K309"/>
  <c r="L309"/>
  <c r="M309"/>
  <c r="K310"/>
  <c r="L310"/>
  <c r="M310"/>
  <c r="K311"/>
  <c r="L311"/>
  <c r="M311"/>
  <c r="K312"/>
  <c r="L312"/>
  <c r="M312"/>
  <c r="K313"/>
  <c r="L313"/>
  <c r="M313"/>
  <c r="K314"/>
  <c r="L314"/>
  <c r="M314"/>
  <c r="K315"/>
  <c r="L315"/>
  <c r="M315"/>
  <c r="K316"/>
  <c r="L316"/>
  <c r="M316"/>
  <c r="K317"/>
  <c r="L317"/>
  <c r="M317"/>
  <c r="K318"/>
  <c r="L318"/>
  <c r="M318"/>
  <c r="K319"/>
  <c r="L319"/>
  <c r="M319"/>
  <c r="K320"/>
  <c r="L320"/>
  <c r="M320"/>
  <c r="K321"/>
  <c r="L321"/>
  <c r="M321"/>
  <c r="K322"/>
  <c r="L322"/>
  <c r="M322"/>
  <c r="K323"/>
  <c r="L323"/>
  <c r="M323"/>
  <c r="K324"/>
  <c r="L324"/>
  <c r="M324"/>
  <c r="K325"/>
  <c r="L325"/>
  <c r="M325"/>
  <c r="K326"/>
  <c r="L326"/>
  <c r="M326"/>
  <c r="K327"/>
  <c r="L327"/>
  <c r="M327"/>
  <c r="K328"/>
  <c r="L328"/>
  <c r="M328"/>
  <c r="K329"/>
  <c r="L329"/>
  <c r="M329"/>
  <c r="K330"/>
  <c r="L330"/>
  <c r="M330"/>
  <c r="K331"/>
  <c r="L331"/>
  <c r="M331"/>
  <c r="K332"/>
  <c r="L332"/>
  <c r="M332"/>
  <c r="K333"/>
  <c r="L333"/>
  <c r="M333"/>
  <c r="K334"/>
  <c r="L334"/>
  <c r="M334"/>
  <c r="K335"/>
  <c r="L335"/>
  <c r="M335"/>
  <c r="K336"/>
  <c r="L336"/>
  <c r="M336"/>
  <c r="K337"/>
  <c r="L337"/>
  <c r="M337"/>
  <c r="K338"/>
  <c r="L338"/>
  <c r="M338"/>
  <c r="K339"/>
  <c r="L339"/>
  <c r="M339"/>
  <c r="K340"/>
  <c r="L340"/>
  <c r="M340"/>
  <c r="K341"/>
  <c r="L341"/>
  <c r="M341"/>
  <c r="K342"/>
  <c r="L342"/>
  <c r="M342"/>
  <c r="K343"/>
  <c r="L343"/>
  <c r="M343"/>
  <c r="K344"/>
  <c r="L344"/>
  <c r="M344"/>
  <c r="K345"/>
  <c r="L345"/>
  <c r="M345"/>
  <c r="K346"/>
  <c r="L346"/>
  <c r="M346"/>
  <c r="K347"/>
  <c r="L347"/>
  <c r="M347"/>
  <c r="K348"/>
  <c r="L348"/>
  <c r="M348"/>
  <c r="K349"/>
  <c r="L349"/>
  <c r="M349"/>
  <c r="K350"/>
  <c r="L350"/>
  <c r="M350"/>
  <c r="K351"/>
  <c r="L351"/>
  <c r="M351"/>
  <c r="K352"/>
  <c r="L352"/>
  <c r="M352"/>
  <c r="K353"/>
  <c r="L353"/>
  <c r="M353"/>
  <c r="K354"/>
  <c r="L354"/>
  <c r="M354"/>
  <c r="K355"/>
  <c r="L355"/>
  <c r="M355"/>
  <c r="K356"/>
  <c r="L356"/>
  <c r="M356"/>
  <c r="K357"/>
  <c r="L357"/>
  <c r="M357"/>
  <c r="K358"/>
  <c r="L358"/>
  <c r="M358"/>
  <c r="K359"/>
  <c r="L359"/>
  <c r="M359"/>
  <c r="K360"/>
  <c r="L360"/>
  <c r="M360"/>
  <c r="K361"/>
  <c r="L361"/>
  <c r="M361"/>
  <c r="K362"/>
  <c r="L362"/>
  <c r="M362"/>
  <c r="K363"/>
  <c r="L363"/>
  <c r="M363"/>
  <c r="K364"/>
  <c r="L364"/>
  <c r="M364"/>
  <c r="K365"/>
  <c r="L365"/>
  <c r="M365"/>
  <c r="K366"/>
  <c r="L366"/>
  <c r="M366"/>
  <c r="K367"/>
  <c r="L367"/>
  <c r="M367"/>
  <c r="K368"/>
  <c r="L368"/>
  <c r="M368"/>
  <c r="K369"/>
  <c r="L369"/>
  <c r="M369"/>
  <c r="K370"/>
  <c r="L370"/>
  <c r="M370"/>
  <c r="K371"/>
  <c r="L371"/>
  <c r="M371"/>
  <c r="K372"/>
  <c r="L372"/>
  <c r="M372"/>
  <c r="K373"/>
  <c r="L373"/>
  <c r="M373"/>
  <c r="K374"/>
  <c r="L374"/>
  <c r="M374"/>
  <c r="K375"/>
  <c r="L375"/>
  <c r="M375"/>
  <c r="K376"/>
  <c r="L376"/>
  <c r="M376"/>
  <c r="K377"/>
  <c r="L377"/>
  <c r="M377"/>
  <c r="K378"/>
  <c r="L378"/>
  <c r="M378"/>
  <c r="K379"/>
  <c r="L379"/>
  <c r="M379"/>
  <c r="K380"/>
  <c r="L380"/>
  <c r="M380"/>
  <c r="K381"/>
  <c r="L381"/>
  <c r="M381"/>
  <c r="K382"/>
  <c r="L382"/>
  <c r="M382"/>
  <c r="K383"/>
  <c r="L383"/>
  <c r="M383"/>
  <c r="M4"/>
  <c r="L4"/>
  <c r="K4"/>
  <c r="H4"/>
  <c r="H383" l="1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C23"/>
  <c r="A31" s="1"/>
  <c r="C39" s="1"/>
  <c r="A50" s="1"/>
  <c r="C60" s="1"/>
  <c r="A73" s="1"/>
  <c r="C83" s="1"/>
  <c r="C92" s="1"/>
  <c r="A102" s="1"/>
  <c r="C113" s="1"/>
  <c r="A123" s="1"/>
  <c r="C130" s="1"/>
  <c r="A138" s="1"/>
  <c r="C152" s="1"/>
  <c r="A162" s="1"/>
  <c r="A173" s="1"/>
  <c r="A23"/>
  <c r="A33" s="1"/>
  <c r="C40" s="1"/>
  <c r="A53" s="1"/>
  <c r="C61" s="1"/>
  <c r="A67" s="1"/>
  <c r="C74" s="1"/>
  <c r="A91" s="1"/>
  <c r="C94" s="1"/>
  <c r="A109" s="1"/>
  <c r="C121" s="1"/>
  <c r="A127" s="1"/>
  <c r="C140" s="1"/>
  <c r="A147" s="1"/>
  <c r="C160" s="1"/>
  <c r="C170" s="1"/>
  <c r="H22"/>
  <c r="C22"/>
  <c r="C31" s="1"/>
  <c r="A36" s="1"/>
  <c r="C51" s="1"/>
  <c r="A54" s="1"/>
  <c r="C66" s="1"/>
  <c r="A75" s="1"/>
  <c r="C91" s="1"/>
  <c r="A96" s="1"/>
  <c r="C110" s="1"/>
  <c r="A116" s="1"/>
  <c r="C133" s="1"/>
  <c r="A136" s="1"/>
  <c r="C153" s="1"/>
  <c r="A163" s="1"/>
  <c r="A167" s="1"/>
  <c r="A22"/>
  <c r="C29" s="1"/>
  <c r="A40" s="1"/>
  <c r="A46" s="1"/>
  <c r="C55" s="1"/>
  <c r="A70" s="1"/>
  <c r="C79" s="1"/>
  <c r="A86" s="1"/>
  <c r="C99" s="1"/>
  <c r="A112" s="1"/>
  <c r="C119" s="1"/>
  <c r="A125" s="1"/>
  <c r="C138" s="1"/>
  <c r="A145" s="1"/>
  <c r="C156" s="1"/>
  <c r="C165" s="1"/>
  <c r="H21"/>
  <c r="C21"/>
  <c r="C30" s="1"/>
  <c r="A42" s="1"/>
  <c r="A51" s="1"/>
  <c r="C59" s="1"/>
  <c r="A71" s="1"/>
  <c r="C78" s="1"/>
  <c r="A90" s="1"/>
  <c r="C100" s="1"/>
  <c r="A113" s="1"/>
  <c r="C118" s="1"/>
  <c r="C131" s="1"/>
  <c r="A143" s="1"/>
  <c r="C149" s="1"/>
  <c r="A156" s="1"/>
  <c r="A170" s="1"/>
  <c r="A21"/>
  <c r="C24" s="1"/>
  <c r="A39" s="1"/>
  <c r="A49" s="1"/>
  <c r="C57" s="1"/>
  <c r="A69" s="1"/>
  <c r="C81" s="1"/>
  <c r="A84" s="1"/>
  <c r="C96" s="1"/>
  <c r="A111" s="1"/>
  <c r="C115" s="1"/>
  <c r="C126" s="1"/>
  <c r="A142" s="1"/>
  <c r="C147" s="1"/>
  <c r="A158" s="1"/>
  <c r="A164" s="1"/>
  <c r="H20"/>
  <c r="C20"/>
  <c r="C32" s="1"/>
  <c r="A37" s="1"/>
  <c r="C52" s="1"/>
  <c r="A61" s="1"/>
  <c r="C72" s="1"/>
  <c r="A78" s="1"/>
  <c r="C89" s="1"/>
  <c r="A103" s="1"/>
  <c r="C112" s="1"/>
  <c r="A117" s="1"/>
  <c r="A124" s="1"/>
  <c r="C141" s="1"/>
  <c r="A152" s="1"/>
  <c r="C158" s="1"/>
  <c r="C167" s="1"/>
  <c r="A20"/>
  <c r="C27" s="1"/>
  <c r="A41" s="1"/>
  <c r="C46" s="1"/>
  <c r="A63" s="1"/>
  <c r="C67" s="1"/>
  <c r="A76" s="1"/>
  <c r="C88" s="1"/>
  <c r="A97" s="1"/>
  <c r="C106" s="1"/>
  <c r="A114" s="1"/>
  <c r="A128" s="1"/>
  <c r="C136" s="1"/>
  <c r="A148" s="1"/>
  <c r="C155" s="1"/>
  <c r="C164" s="1"/>
  <c r="H19"/>
  <c r="C19"/>
  <c r="A32" s="1"/>
  <c r="C41" s="1"/>
  <c r="C48" s="1"/>
  <c r="A59" s="1"/>
  <c r="C68" s="1"/>
  <c r="A81" s="1"/>
  <c r="C85" s="1"/>
  <c r="A101" s="1"/>
  <c r="C105" s="1"/>
  <c r="A119" s="1"/>
  <c r="A130" s="1"/>
  <c r="C137" s="1"/>
  <c r="A150" s="1"/>
  <c r="C154" s="1"/>
  <c r="C168" s="1"/>
  <c r="A19"/>
  <c r="A27" s="1"/>
  <c r="C38" s="1"/>
  <c r="C53" s="1"/>
  <c r="A56" s="1"/>
  <c r="C70" s="1"/>
  <c r="A80" s="1"/>
  <c r="C93" s="1"/>
  <c r="A95" s="1"/>
  <c r="C107" s="1"/>
  <c r="A122" s="1"/>
  <c r="A126" s="1"/>
  <c r="C134" s="1"/>
  <c r="A153" s="1"/>
  <c r="C159" s="1"/>
  <c r="C173" s="1"/>
  <c r="H18"/>
  <c r="C18"/>
  <c r="A25" s="1"/>
  <c r="C36" s="1"/>
  <c r="C47" s="1"/>
  <c r="A60" s="1"/>
  <c r="C65" s="1"/>
  <c r="A79" s="1"/>
  <c r="C87" s="1"/>
  <c r="A100" s="1"/>
  <c r="C111" s="1"/>
  <c r="A120" s="1"/>
  <c r="C129" s="1"/>
  <c r="A139" s="1"/>
  <c r="C150" s="1"/>
  <c r="A159" s="1"/>
  <c r="A172" s="1"/>
  <c r="A18"/>
  <c r="A28" s="1"/>
  <c r="C34" s="1"/>
  <c r="A48" s="1"/>
  <c r="C56" s="1"/>
  <c r="A72" s="1"/>
  <c r="C76" s="1"/>
  <c r="C84" s="1"/>
  <c r="A99" s="1"/>
  <c r="C108" s="1"/>
  <c r="A121" s="1"/>
  <c r="A132" s="1"/>
  <c r="C135" s="1"/>
  <c r="A149" s="1"/>
  <c r="C157" s="1"/>
  <c r="C169" s="1"/>
  <c r="H17"/>
  <c r="C17"/>
  <c r="C25" s="1"/>
  <c r="A43" s="1"/>
  <c r="C49" s="1"/>
  <c r="A62" s="1"/>
  <c r="C71" s="1"/>
  <c r="A77" s="1"/>
  <c r="A93" s="1"/>
  <c r="C102" s="1"/>
  <c r="A110" s="1"/>
  <c r="C117" s="1"/>
  <c r="C128" s="1"/>
  <c r="A137" s="1"/>
  <c r="C146" s="1"/>
  <c r="A160" s="1"/>
  <c r="A171" s="1"/>
  <c r="A17"/>
  <c r="C26" s="1"/>
  <c r="A35" s="1"/>
  <c r="A47" s="1"/>
  <c r="C54" s="1"/>
  <c r="A64" s="1"/>
  <c r="C80" s="1"/>
  <c r="C90" s="1"/>
  <c r="A94" s="1"/>
  <c r="C104" s="1"/>
  <c r="A115" s="1"/>
  <c r="C125" s="1"/>
  <c r="A141" s="1"/>
  <c r="C144" s="1"/>
  <c r="A155" s="1"/>
  <c r="A169" s="1"/>
  <c r="H16"/>
  <c r="C16"/>
  <c r="A26" s="1"/>
  <c r="C42" s="1"/>
  <c r="A44" s="1"/>
  <c r="C58" s="1"/>
  <c r="A66" s="1"/>
  <c r="C77" s="1"/>
  <c r="A92" s="1"/>
  <c r="C97" s="1"/>
  <c r="A107" s="1"/>
  <c r="C120" s="1"/>
  <c r="C124" s="1"/>
  <c r="A135" s="1"/>
  <c r="C151" s="1"/>
  <c r="A154" s="1"/>
  <c r="A165" s="1"/>
  <c r="A16"/>
  <c r="A24" s="1"/>
  <c r="C35" s="1"/>
  <c r="A45" s="1"/>
  <c r="C62" s="1"/>
  <c r="A65" s="1"/>
  <c r="C75" s="1"/>
  <c r="A85" s="1"/>
  <c r="C98" s="1"/>
  <c r="A106" s="1"/>
  <c r="C123" s="1"/>
  <c r="C132" s="1"/>
  <c r="A140" s="1"/>
  <c r="C145" s="1"/>
  <c r="A161" s="1"/>
  <c r="A166" s="1"/>
  <c r="H15"/>
  <c r="C15"/>
  <c r="A29" s="1"/>
  <c r="C37" s="1"/>
  <c r="C50" s="1"/>
  <c r="A57" s="1"/>
  <c r="C64" s="1"/>
  <c r="A74" s="1"/>
  <c r="A88" s="1"/>
  <c r="C101" s="1"/>
  <c r="A108" s="1"/>
  <c r="C122" s="1"/>
  <c r="A133" s="1"/>
  <c r="C143" s="1"/>
  <c r="A146" s="1"/>
  <c r="C161" s="1"/>
  <c r="C172" s="1"/>
  <c r="A15"/>
  <c r="C33" s="1"/>
  <c r="A34" s="1"/>
  <c r="C44" s="1"/>
  <c r="A55" s="1"/>
  <c r="C73" s="1"/>
  <c r="A82" s="1"/>
  <c r="A89" s="1"/>
  <c r="C95" s="1"/>
  <c r="A105" s="1"/>
  <c r="C114" s="1"/>
  <c r="A131" s="1"/>
  <c r="C139" s="1"/>
  <c r="A144" s="1"/>
  <c r="C163" s="1"/>
  <c r="C166" s="1"/>
  <c r="H14"/>
  <c r="C14"/>
  <c r="A14"/>
  <c r="H13"/>
  <c r="H12"/>
  <c r="H11"/>
  <c r="H10"/>
  <c r="H9"/>
  <c r="H8"/>
  <c r="H7"/>
  <c r="H6"/>
  <c r="H5"/>
  <c r="A30" l="1"/>
  <c r="C43" s="1"/>
  <c r="C45" s="1"/>
  <c r="A58" s="1"/>
  <c r="C69" s="1"/>
  <c r="A83" s="1"/>
  <c r="A87" s="1"/>
  <c r="C103" s="1"/>
  <c r="A104" s="1"/>
  <c r="C116" s="1"/>
  <c r="C127" s="1"/>
  <c r="A134" s="1"/>
  <c r="C148" s="1"/>
  <c r="A157" s="1"/>
  <c r="A168" s="1"/>
  <c r="C28"/>
  <c r="A38" s="1"/>
  <c r="A52" s="1"/>
  <c r="C63" s="1"/>
  <c r="A68" s="1"/>
  <c r="C82" s="1"/>
  <c r="C86" s="1"/>
  <c r="A98" s="1"/>
  <c r="C109" s="1"/>
  <c r="A118" s="1"/>
  <c r="A129" s="1"/>
  <c r="C142" s="1"/>
  <c r="A151" s="1"/>
  <c r="C162" s="1"/>
  <c r="C171" s="1"/>
  <c r="AB20" l="1"/>
  <c r="S22"/>
  <c r="Z14"/>
  <c r="U4"/>
  <c r="AA14"/>
  <c r="T4"/>
  <c r="AB14"/>
  <c r="S4"/>
  <c r="Z5"/>
  <c r="U18"/>
  <c r="AA5"/>
  <c r="T18"/>
  <c r="AB5"/>
  <c r="S18"/>
  <c r="Z6"/>
  <c r="U11"/>
  <c r="AA6"/>
  <c r="T11"/>
  <c r="AB6"/>
  <c r="S11"/>
  <c r="Z8"/>
  <c r="U10"/>
  <c r="AA8"/>
  <c r="T10"/>
  <c r="AB8"/>
  <c r="S10"/>
  <c r="Z13"/>
  <c r="U21"/>
  <c r="AA13"/>
  <c r="T21"/>
  <c r="AB13"/>
  <c r="S21"/>
  <c r="Z15"/>
  <c r="U7"/>
  <c r="AA15"/>
  <c r="T7"/>
  <c r="AB15"/>
  <c r="S7"/>
  <c r="Z23"/>
  <c r="U16"/>
  <c r="AA23"/>
  <c r="T16"/>
  <c r="AB23"/>
  <c r="S16"/>
  <c r="Z19"/>
  <c r="U9"/>
  <c r="AA19"/>
  <c r="T9"/>
  <c r="AB19"/>
  <c r="S9"/>
  <c r="Z12"/>
  <c r="U17"/>
  <c r="AA12"/>
  <c r="T17"/>
  <c r="AB12"/>
  <c r="S17"/>
  <c r="AA20"/>
  <c r="Z20"/>
  <c r="AF20" s="1"/>
  <c r="T22"/>
  <c r="U22"/>
  <c r="Z22"/>
  <c r="AA22"/>
  <c r="AB22"/>
  <c r="AC22"/>
  <c r="AD22"/>
  <c r="Z17"/>
  <c r="AA17"/>
  <c r="AC17"/>
  <c r="Z9"/>
  <c r="AA9"/>
  <c r="AB9"/>
  <c r="AC9"/>
  <c r="AD9"/>
  <c r="Z16"/>
  <c r="AA16"/>
  <c r="AB16"/>
  <c r="AC16"/>
  <c r="AD16"/>
  <c r="AD17"/>
  <c r="AD7"/>
  <c r="AC7"/>
  <c r="AB7"/>
  <c r="AA7"/>
  <c r="Z7"/>
  <c r="AF7" s="1"/>
  <c r="Z21"/>
  <c r="AA21"/>
  <c r="AB21"/>
  <c r="AC21"/>
  <c r="AD21"/>
  <c r="Z10"/>
  <c r="AA10"/>
  <c r="AB10"/>
  <c r="AC10"/>
  <c r="AD10"/>
  <c r="Z11"/>
  <c r="AA11"/>
  <c r="AB11"/>
  <c r="AC11"/>
  <c r="AD11"/>
  <c r="Z18"/>
  <c r="AA18"/>
  <c r="AB18"/>
  <c r="AC18"/>
  <c r="AD18"/>
  <c r="Z4"/>
  <c r="AA4"/>
  <c r="AB4"/>
  <c r="AC4"/>
  <c r="AD4"/>
  <c r="AC20"/>
  <c r="AD20"/>
  <c r="AC12"/>
  <c r="AD12"/>
  <c r="AC19"/>
  <c r="AD19"/>
  <c r="AC23"/>
  <c r="AD23"/>
  <c r="AC15"/>
  <c r="AD15"/>
  <c r="AC13"/>
  <c r="AD13"/>
  <c r="AC8"/>
  <c r="AD8"/>
  <c r="AC6"/>
  <c r="AD6"/>
  <c r="AC5"/>
  <c r="AD5"/>
  <c r="AC14"/>
  <c r="AD14"/>
  <c r="AB17"/>
  <c r="V22"/>
  <c r="W22"/>
  <c r="V17"/>
  <c r="W17"/>
  <c r="V9"/>
  <c r="W9"/>
  <c r="V16"/>
  <c r="W16"/>
  <c r="W7"/>
  <c r="V7"/>
  <c r="X7" s="1"/>
  <c r="V21"/>
  <c r="W21"/>
  <c r="V10"/>
  <c r="W10"/>
  <c r="V11"/>
  <c r="W11"/>
  <c r="V18"/>
  <c r="W18"/>
  <c r="V4"/>
  <c r="W4"/>
  <c r="S20"/>
  <c r="T20"/>
  <c r="AH20" s="1"/>
  <c r="U20"/>
  <c r="AI20" s="1"/>
  <c r="V20"/>
  <c r="W20"/>
  <c r="S12"/>
  <c r="T12"/>
  <c r="AH12" s="1"/>
  <c r="U12"/>
  <c r="AI12" s="1"/>
  <c r="V12"/>
  <c r="W12"/>
  <c r="S19"/>
  <c r="T19"/>
  <c r="AH19" s="1"/>
  <c r="U19"/>
  <c r="AI19" s="1"/>
  <c r="V19"/>
  <c r="W19"/>
  <c r="S23"/>
  <c r="T23"/>
  <c r="AH23" s="1"/>
  <c r="U23"/>
  <c r="AI23" s="1"/>
  <c r="V23"/>
  <c r="W23"/>
  <c r="S15"/>
  <c r="T15"/>
  <c r="AH15" s="1"/>
  <c r="U15"/>
  <c r="AI15" s="1"/>
  <c r="V15"/>
  <c r="W15"/>
  <c r="S13"/>
  <c r="T13"/>
  <c r="AH13" s="1"/>
  <c r="U13"/>
  <c r="AI13" s="1"/>
  <c r="V13"/>
  <c r="W13"/>
  <c r="S8"/>
  <c r="T8"/>
  <c r="AH8" s="1"/>
  <c r="U8"/>
  <c r="AI8" s="1"/>
  <c r="V8"/>
  <c r="W8"/>
  <c r="S6"/>
  <c r="T6"/>
  <c r="AH6" s="1"/>
  <c r="U6"/>
  <c r="AI6" s="1"/>
  <c r="V6"/>
  <c r="W6"/>
  <c r="S5"/>
  <c r="T5"/>
  <c r="AH5" s="1"/>
  <c r="U5"/>
  <c r="AI5" s="1"/>
  <c r="V5"/>
  <c r="W5"/>
  <c r="S14"/>
  <c r="T14"/>
  <c r="AH14" s="1"/>
  <c r="U14"/>
  <c r="AI14" s="1"/>
  <c r="V14"/>
  <c r="W14"/>
  <c r="Y14" l="1"/>
  <c r="AG14"/>
  <c r="AM14" s="1"/>
  <c r="Y5"/>
  <c r="AG5"/>
  <c r="AM5" s="1"/>
  <c r="Y6"/>
  <c r="AG6"/>
  <c r="AM6" s="1"/>
  <c r="Y8"/>
  <c r="AG8"/>
  <c r="AM8" s="1"/>
  <c r="Y13"/>
  <c r="AG13"/>
  <c r="AM13" s="1"/>
  <c r="Y15"/>
  <c r="AG15"/>
  <c r="AM15" s="1"/>
  <c r="Y23"/>
  <c r="AG23"/>
  <c r="AM23" s="1"/>
  <c r="Y19"/>
  <c r="AG19"/>
  <c r="AM19" s="1"/>
  <c r="Y12"/>
  <c r="AG12"/>
  <c r="AM12" s="1"/>
  <c r="Y20"/>
  <c r="AG20"/>
  <c r="AM20" s="1"/>
  <c r="AE14"/>
  <c r="AJ14"/>
  <c r="AE5"/>
  <c r="AJ5"/>
  <c r="AE6"/>
  <c r="AJ6"/>
  <c r="AE8"/>
  <c r="AJ8"/>
  <c r="AE13"/>
  <c r="AJ13"/>
  <c r="AE15"/>
  <c r="AJ15"/>
  <c r="AE23"/>
  <c r="AJ23"/>
  <c r="AE19"/>
  <c r="AJ19"/>
  <c r="AE12"/>
  <c r="AJ12"/>
  <c r="AE20"/>
  <c r="AJ20"/>
  <c r="AE4"/>
  <c r="AJ4"/>
  <c r="AE18"/>
  <c r="AJ18"/>
  <c r="AE11"/>
  <c r="AJ11"/>
  <c r="AE10"/>
  <c r="AJ10"/>
  <c r="AE21"/>
  <c r="AJ21"/>
  <c r="AE7"/>
  <c r="AJ7"/>
  <c r="AE16"/>
  <c r="AJ16"/>
  <c r="AE9"/>
  <c r="AJ9"/>
  <c r="AE17"/>
  <c r="AJ17"/>
  <c r="AJ22"/>
  <c r="AE22"/>
  <c r="AG22"/>
  <c r="AF22"/>
  <c r="Y17"/>
  <c r="AG17"/>
  <c r="Y9"/>
  <c r="AG9"/>
  <c r="Y16"/>
  <c r="AG16"/>
  <c r="Y7"/>
  <c r="AG7"/>
  <c r="Y21"/>
  <c r="AG21"/>
  <c r="Y10"/>
  <c r="AG10"/>
  <c r="Y11"/>
  <c r="AG11"/>
  <c r="Y18"/>
  <c r="AG18"/>
  <c r="Y4"/>
  <c r="AG4"/>
  <c r="X14"/>
  <c r="X5"/>
  <c r="X6"/>
  <c r="X8"/>
  <c r="X13"/>
  <c r="X15"/>
  <c r="X23"/>
  <c r="X19"/>
  <c r="X12"/>
  <c r="X20"/>
  <c r="X4"/>
  <c r="X18"/>
  <c r="X11"/>
  <c r="X10"/>
  <c r="X21"/>
  <c r="X16"/>
  <c r="X9"/>
  <c r="X17"/>
  <c r="X22"/>
  <c r="AK14"/>
  <c r="AK5"/>
  <c r="AK6"/>
  <c r="AK8"/>
  <c r="AK13"/>
  <c r="AK15"/>
  <c r="AK23"/>
  <c r="AK19"/>
  <c r="AK12"/>
  <c r="AK20"/>
  <c r="AK4"/>
  <c r="AF4"/>
  <c r="AK18"/>
  <c r="AF18"/>
  <c r="AK11"/>
  <c r="AF11"/>
  <c r="AK10"/>
  <c r="AF10"/>
  <c r="AK21"/>
  <c r="AF21"/>
  <c r="AK7"/>
  <c r="AK17"/>
  <c r="AL17" s="1"/>
  <c r="AK16"/>
  <c r="AF16"/>
  <c r="AK9"/>
  <c r="AF9"/>
  <c r="AF17"/>
  <c r="AK22"/>
  <c r="AI22"/>
  <c r="AH22"/>
  <c r="AM22" s="1"/>
  <c r="AH17"/>
  <c r="AI17"/>
  <c r="AF12"/>
  <c r="AH9"/>
  <c r="AI9"/>
  <c r="AF19"/>
  <c r="AH16"/>
  <c r="AI16"/>
  <c r="AF23"/>
  <c r="AH7"/>
  <c r="AI7"/>
  <c r="AF15"/>
  <c r="AH21"/>
  <c r="AI21"/>
  <c r="AF13"/>
  <c r="AH10"/>
  <c r="AI10"/>
  <c r="AF8"/>
  <c r="AH11"/>
  <c r="AI11"/>
  <c r="AF6"/>
  <c r="AH18"/>
  <c r="AI18"/>
  <c r="AF5"/>
  <c r="AH4"/>
  <c r="AI4"/>
  <c r="AF14"/>
  <c r="Y22"/>
  <c r="AM4" l="1"/>
  <c r="AM18"/>
  <c r="AM11"/>
  <c r="AM10"/>
  <c r="AM21"/>
  <c r="AM7"/>
  <c r="AM16"/>
  <c r="AM9"/>
  <c r="AM17"/>
  <c r="AL22"/>
  <c r="AL9"/>
  <c r="AL16"/>
  <c r="AL7"/>
  <c r="AL21"/>
  <c r="AL10"/>
  <c r="AL11"/>
  <c r="AL18"/>
  <c r="AL4"/>
  <c r="AL20"/>
  <c r="AL12"/>
  <c r="AL19"/>
  <c r="AL23"/>
  <c r="AL15"/>
  <c r="AL13"/>
  <c r="AL8"/>
  <c r="AL6"/>
  <c r="AL5"/>
  <c r="AL14"/>
</calcChain>
</file>

<file path=xl/sharedStrings.xml><?xml version="1.0" encoding="utf-8"?>
<sst xmlns="http://schemas.openxmlformats.org/spreadsheetml/2006/main" count="642" uniqueCount="46">
  <si>
    <t>rezultat</t>
  </si>
  <si>
    <t>Parovi</t>
  </si>
  <si>
    <t>Blackburn</t>
  </si>
  <si>
    <t>Wolverhampton</t>
  </si>
  <si>
    <t>-</t>
  </si>
  <si>
    <t>Fulham</t>
  </si>
  <si>
    <t>Aston Villa</t>
  </si>
  <si>
    <t>Liverpool</t>
  </si>
  <si>
    <t>Sunderland</t>
  </si>
  <si>
    <t>QPR</t>
  </si>
  <si>
    <t>Bolton</t>
  </si>
  <si>
    <t>Tottenham</t>
  </si>
  <si>
    <t>Everton</t>
  </si>
  <si>
    <t>Wigan</t>
  </si>
  <si>
    <t>Norwich City</t>
  </si>
  <si>
    <t>Newcastle</t>
  </si>
  <si>
    <t>Arsenal</t>
  </si>
  <si>
    <t>Stoke</t>
  </si>
  <si>
    <t>Chelsea</t>
  </si>
  <si>
    <t>WBA</t>
  </si>
  <si>
    <t>Manchester United</t>
  </si>
  <si>
    <t>Manchester City</t>
  </si>
  <si>
    <t>Swansea City</t>
  </si>
  <si>
    <t>W</t>
  </si>
  <si>
    <t>D</t>
  </si>
  <si>
    <t>L</t>
  </si>
  <si>
    <t>GF</t>
  </si>
  <si>
    <t>GA</t>
  </si>
  <si>
    <t>GD</t>
  </si>
  <si>
    <t>Pts</t>
  </si>
  <si>
    <t>X</t>
  </si>
  <si>
    <t>Domacin</t>
  </si>
  <si>
    <t>Gost</t>
  </si>
  <si>
    <t>UKUPNO</t>
  </si>
  <si>
    <t>tip</t>
  </si>
  <si>
    <t>.</t>
  </si>
  <si>
    <t>KOLO</t>
  </si>
  <si>
    <t>Broj pobeda</t>
  </si>
  <si>
    <t>Broj neresenih</t>
  </si>
  <si>
    <t>Broj poraza</t>
  </si>
  <si>
    <t>Broj postignutih golova</t>
  </si>
  <si>
    <t>Broj primljenih golova</t>
  </si>
  <si>
    <t>Gol razlika</t>
  </si>
  <si>
    <t>Broj osvojenih poena</t>
  </si>
  <si>
    <t>Tim</t>
  </si>
  <si>
    <t>*Napomena: Unos samo u poljima koja su obojena zeleno (dakle: parovi i konacan rezultat).</t>
  </si>
</sst>
</file>

<file path=xl/styles.xml><?xml version="1.0" encoding="utf-8"?>
<styleSheet xmlns="http://schemas.openxmlformats.org/spreadsheetml/2006/main">
  <fonts count="12"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2"/>
      <charset val="204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9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Times New Roman"/>
      <family val="1"/>
    </font>
    <font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right"/>
    </xf>
    <xf numFmtId="0" fontId="2" fillId="3" borderId="10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right"/>
    </xf>
    <xf numFmtId="0" fontId="9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0" fillId="5" borderId="1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2" borderId="0" xfId="0" applyFill="1" applyAlignment="1">
      <alignment horizontal="left" vertical="center" textRotation="180"/>
    </xf>
    <xf numFmtId="0" fontId="0" fillId="2" borderId="0" xfId="0" applyFont="1" applyFill="1" applyAlignment="1">
      <alignment horizontal="left" vertical="center" textRotation="180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/>
    </xf>
    <xf numFmtId="0" fontId="5" fillId="4" borderId="0" xfId="0" applyNumberFormat="1" applyFont="1" applyFill="1" applyBorder="1" applyAlignment="1">
      <alignment horizontal="left" vertical="center"/>
    </xf>
    <xf numFmtId="0" fontId="5" fillId="4" borderId="7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left" vertical="center" shrinkToFit="1"/>
    </xf>
    <xf numFmtId="0" fontId="5" fillId="4" borderId="0" xfId="0" applyNumberFormat="1" applyFont="1" applyFill="1" applyBorder="1" applyAlignment="1">
      <alignment horizontal="left" vertical="center" shrinkToFit="1"/>
    </xf>
    <xf numFmtId="0" fontId="5" fillId="4" borderId="7" xfId="0" applyNumberFormat="1" applyFont="1" applyFill="1" applyBorder="1" applyAlignment="1">
      <alignment horizontal="left" vertical="center" shrinkToFit="1"/>
    </xf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/>
    </xf>
    <xf numFmtId="0" fontId="8" fillId="7" borderId="1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11" fillId="6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1">
    <dxf>
      <font>
        <color rgb="FF92D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44444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93"/>
  <sheetViews>
    <sheetView tabSelected="1" zoomScale="120" zoomScaleNormal="120" workbookViewId="0">
      <selection activeCell="AR27" sqref="AR27"/>
    </sheetView>
  </sheetViews>
  <sheetFormatPr defaultRowHeight="12.75"/>
  <cols>
    <col min="1" max="1" width="20.33203125" style="7" bestFit="1" customWidth="1"/>
    <col min="2" max="2" width="1.83203125" style="7" bestFit="1" customWidth="1"/>
    <col min="3" max="3" width="22.33203125" style="7" customWidth="1"/>
    <col min="4" max="4" width="2.5" style="7" customWidth="1"/>
    <col min="5" max="5" width="2.33203125" style="7" bestFit="1" customWidth="1"/>
    <col min="6" max="6" width="2" style="7" bestFit="1" customWidth="1"/>
    <col min="7" max="7" width="2.33203125" style="8" bestFit="1" customWidth="1"/>
    <col min="8" max="8" width="3.6640625" style="7" bestFit="1" customWidth="1"/>
    <col min="9" max="9" width="3.6640625" style="7" customWidth="1"/>
    <col min="10" max="10" width="3.5" style="7" customWidth="1"/>
    <col min="11" max="11" width="3.5" style="7" hidden="1" customWidth="1"/>
    <col min="12" max="12" width="4.1640625" style="7" hidden="1" customWidth="1"/>
    <col min="13" max="13" width="3.5" style="7" hidden="1" customWidth="1"/>
    <col min="14" max="14" width="4.6640625" style="7" customWidth="1"/>
    <col min="15" max="15" width="9.33203125" style="7"/>
    <col min="16" max="16" width="2" style="7" customWidth="1"/>
    <col min="17" max="17" width="2.5" style="7" hidden="1" customWidth="1"/>
    <col min="18" max="18" width="18.5" style="7" bestFit="1" customWidth="1"/>
    <col min="19" max="19" width="3.1640625" style="7" bestFit="1" customWidth="1"/>
    <col min="20" max="21" width="3" style="7" bestFit="1" customWidth="1"/>
    <col min="22" max="23" width="4.1640625" style="7" bestFit="1" customWidth="1"/>
    <col min="24" max="24" width="4.83203125" style="7" bestFit="1" customWidth="1"/>
    <col min="25" max="25" width="4" style="7" bestFit="1" customWidth="1"/>
    <col min="26" max="26" width="3.1640625" style="7" bestFit="1" customWidth="1"/>
    <col min="27" max="28" width="3" style="7" bestFit="1" customWidth="1"/>
    <col min="29" max="30" width="4.1640625" style="7" bestFit="1" customWidth="1"/>
    <col min="31" max="31" width="4.83203125" style="7" bestFit="1" customWidth="1"/>
    <col min="32" max="32" width="4" style="7" bestFit="1" customWidth="1"/>
    <col min="33" max="33" width="3.1640625" style="7" bestFit="1" customWidth="1"/>
    <col min="34" max="34" width="2.5" style="7" bestFit="1" customWidth="1"/>
    <col min="35" max="35" width="3.1640625" style="7" bestFit="1" customWidth="1"/>
    <col min="36" max="36" width="3.5" style="7" bestFit="1" customWidth="1"/>
    <col min="37" max="37" width="3.83203125" style="7" bestFit="1" customWidth="1"/>
    <col min="38" max="38" width="4" style="7" bestFit="1" customWidth="1"/>
    <col min="39" max="39" width="4.83203125" style="7" bestFit="1" customWidth="1"/>
    <col min="40" max="41" width="9.33203125" style="7"/>
    <col min="42" max="42" width="2.1640625" style="7" customWidth="1"/>
    <col min="43" max="16384" width="9.33203125" style="7"/>
  </cols>
  <sheetData>
    <row r="1" spans="1:48">
      <c r="E1" s="51" t="s">
        <v>0</v>
      </c>
      <c r="F1" s="51"/>
      <c r="G1" s="51"/>
      <c r="H1" s="52" t="s">
        <v>34</v>
      </c>
      <c r="I1" s="49" t="s">
        <v>36</v>
      </c>
      <c r="S1" s="62" t="s">
        <v>31</v>
      </c>
      <c r="T1" s="63"/>
      <c r="U1" s="63"/>
      <c r="V1" s="63"/>
      <c r="W1" s="63"/>
      <c r="X1" s="63"/>
      <c r="Y1" s="64"/>
      <c r="Z1" s="42" t="s">
        <v>32</v>
      </c>
      <c r="AA1" s="43"/>
      <c r="AB1" s="43"/>
      <c r="AC1" s="43"/>
      <c r="AD1" s="43"/>
      <c r="AE1" s="43"/>
      <c r="AF1" s="44"/>
      <c r="AG1" s="46" t="s">
        <v>33</v>
      </c>
      <c r="AH1" s="47"/>
      <c r="AI1" s="47"/>
      <c r="AJ1" s="47"/>
      <c r="AK1" s="47"/>
      <c r="AL1" s="47"/>
      <c r="AM1" s="48"/>
    </row>
    <row r="2" spans="1:48" ht="30" customHeight="1" thickBot="1">
      <c r="A2" s="40" t="s">
        <v>1</v>
      </c>
      <c r="B2" s="40"/>
      <c r="C2" s="40"/>
      <c r="D2" s="39"/>
      <c r="E2" s="51"/>
      <c r="F2" s="51"/>
      <c r="G2" s="51"/>
      <c r="H2" s="52"/>
      <c r="I2" s="50"/>
      <c r="K2" s="10">
        <v>1</v>
      </c>
      <c r="L2" s="10" t="s">
        <v>30</v>
      </c>
      <c r="M2" s="10">
        <v>2</v>
      </c>
      <c r="R2" s="1" t="s">
        <v>44</v>
      </c>
      <c r="S2" s="65" t="s">
        <v>23</v>
      </c>
      <c r="T2" s="66" t="s">
        <v>24</v>
      </c>
      <c r="U2" s="66" t="s">
        <v>25</v>
      </c>
      <c r="V2" s="66" t="s">
        <v>26</v>
      </c>
      <c r="W2" s="66" t="s">
        <v>27</v>
      </c>
      <c r="X2" s="66" t="s">
        <v>28</v>
      </c>
      <c r="Y2" s="67" t="s">
        <v>29</v>
      </c>
      <c r="Z2" s="24" t="s">
        <v>23</v>
      </c>
      <c r="AA2" s="25" t="s">
        <v>24</v>
      </c>
      <c r="AB2" s="25" t="s">
        <v>25</v>
      </c>
      <c r="AC2" s="25" t="s">
        <v>26</v>
      </c>
      <c r="AD2" s="25" t="s">
        <v>27</v>
      </c>
      <c r="AE2" s="25" t="s">
        <v>28</v>
      </c>
      <c r="AF2" s="26" t="s">
        <v>29</v>
      </c>
      <c r="AG2" s="30" t="s">
        <v>23</v>
      </c>
      <c r="AH2" s="31" t="s">
        <v>24</v>
      </c>
      <c r="AI2" s="31" t="s">
        <v>25</v>
      </c>
      <c r="AJ2" s="31" t="s">
        <v>26</v>
      </c>
      <c r="AK2" s="31" t="s">
        <v>27</v>
      </c>
      <c r="AL2" s="31" t="s">
        <v>28</v>
      </c>
      <c r="AM2" s="32" t="s">
        <v>29</v>
      </c>
    </row>
    <row r="3" spans="1:48" ht="30" hidden="1" customHeight="1" thickBot="1">
      <c r="A3" s="15"/>
      <c r="B3" s="15"/>
      <c r="C3" s="15"/>
      <c r="D3" s="39"/>
      <c r="E3" s="23"/>
      <c r="F3" s="23"/>
      <c r="G3" s="23"/>
      <c r="H3" s="9"/>
      <c r="K3" s="10"/>
      <c r="L3" s="10"/>
      <c r="M3" s="10"/>
      <c r="S3" s="27"/>
      <c r="T3" s="28"/>
      <c r="U3" s="28"/>
      <c r="V3" s="28"/>
      <c r="W3" s="28"/>
      <c r="X3" s="28"/>
      <c r="Y3" s="29"/>
      <c r="Z3" s="24"/>
      <c r="AA3" s="25"/>
      <c r="AB3" s="25"/>
      <c r="AC3" s="25"/>
      <c r="AD3" s="25"/>
      <c r="AE3" s="25"/>
      <c r="AF3" s="26"/>
      <c r="AG3" s="30"/>
      <c r="AH3" s="31"/>
      <c r="AI3" s="31"/>
      <c r="AJ3" s="31"/>
      <c r="AK3" s="31"/>
      <c r="AL3" s="31"/>
      <c r="AM3" s="32"/>
    </row>
    <row r="4" spans="1:48" ht="13.5" thickBot="1">
      <c r="A4" s="70" t="s">
        <v>2</v>
      </c>
      <c r="B4" s="11" t="s">
        <v>4</v>
      </c>
      <c r="C4" s="73" t="s">
        <v>3</v>
      </c>
      <c r="D4" s="12"/>
      <c r="E4" s="53">
        <v>1</v>
      </c>
      <c r="F4" s="13" t="s">
        <v>4</v>
      </c>
      <c r="G4" s="59">
        <v>2</v>
      </c>
      <c r="H4" s="14">
        <f>IF(E4=""," ",IF(E4-G4&gt;0,1,IF(E4-G4&lt;0,2,"x")))</f>
        <v>2</v>
      </c>
      <c r="I4" s="41">
        <v>1</v>
      </c>
      <c r="J4" s="40"/>
      <c r="K4" s="7">
        <f>IF(E4=""," ",IF(E4-G4&gt;0,1,0))</f>
        <v>0</v>
      </c>
      <c r="L4" s="7">
        <f>IF(E4=""," ",IF(E4-G4=0,1,0))</f>
        <v>0</v>
      </c>
      <c r="M4" s="7">
        <f>IF(E4=""," ",IF(E4-G4&lt;0,1,0))</f>
        <v>1</v>
      </c>
      <c r="O4" s="7">
        <v>1</v>
      </c>
      <c r="P4" s="1" t="s">
        <v>35</v>
      </c>
      <c r="Q4" s="1"/>
      <c r="R4" s="3" t="s">
        <v>21</v>
      </c>
      <c r="S4" s="68">
        <f>SUMIF(domacin,"Manchester City",KEC)</f>
        <v>7</v>
      </c>
      <c r="T4" s="69">
        <f>SUMIF(domacin,"Manchester City",IKS)</f>
        <v>0</v>
      </c>
      <c r="U4" s="69">
        <f>SUMIF(domacin,"Manchester City",Dvojka)</f>
        <v>0</v>
      </c>
      <c r="V4" s="69">
        <f>SUMIF(domacin,"Manchester City",golovi1)</f>
        <v>24</v>
      </c>
      <c r="W4" s="69">
        <f>SUMIF(domacin,"Manchester City",golovi2)</f>
        <v>4</v>
      </c>
      <c r="X4" s="69">
        <f>V4-W4</f>
        <v>20</v>
      </c>
      <c r="Y4" s="35">
        <f>S4*3+T4</f>
        <v>21</v>
      </c>
      <c r="Z4" s="5">
        <f>SUMIF(gost,"Manchester City",Dvojka)</f>
        <v>5</v>
      </c>
      <c r="AA4" s="6">
        <f>SUMIF(gost,"Manchester City",IKS)</f>
        <v>2</v>
      </c>
      <c r="AB4" s="6">
        <f>SUMIF(gost,"Manchester City",KEC)</f>
        <v>1</v>
      </c>
      <c r="AC4" s="6">
        <f>SUMIF(gost,"Manchester City",golovi2)</f>
        <v>25</v>
      </c>
      <c r="AD4" s="6">
        <f>SUMIF(gost,"Manchester City",golovi1)</f>
        <v>11</v>
      </c>
      <c r="AE4" s="4">
        <f>AC4-AD4</f>
        <v>14</v>
      </c>
      <c r="AF4" s="35">
        <f>Z4*3+AA4</f>
        <v>17</v>
      </c>
      <c r="AG4" s="33">
        <f>S4+Z4</f>
        <v>12</v>
      </c>
      <c r="AH4" s="34">
        <f>T4+AA4</f>
        <v>2</v>
      </c>
      <c r="AI4" s="34">
        <f>U4+AB4</f>
        <v>1</v>
      </c>
      <c r="AJ4" s="34">
        <f>AC4+V4</f>
        <v>49</v>
      </c>
      <c r="AK4" s="34">
        <f>AD4+W4</f>
        <v>15</v>
      </c>
      <c r="AL4" s="34">
        <f>AJ4-AK4</f>
        <v>34</v>
      </c>
      <c r="AM4" s="36">
        <f>AG4*3+AH4</f>
        <v>38</v>
      </c>
      <c r="AO4" s="38" t="s">
        <v>23</v>
      </c>
      <c r="AP4" s="1" t="s">
        <v>4</v>
      </c>
      <c r="AQ4" s="45" t="s">
        <v>37</v>
      </c>
      <c r="AR4" s="45"/>
      <c r="AS4" s="45"/>
      <c r="AT4" s="45"/>
      <c r="AU4" s="45"/>
      <c r="AV4" s="45"/>
    </row>
    <row r="5" spans="1:48" ht="13.5" thickBot="1">
      <c r="A5" s="71" t="s">
        <v>5</v>
      </c>
      <c r="B5" s="15" t="s">
        <v>4</v>
      </c>
      <c r="C5" s="74" t="s">
        <v>6</v>
      </c>
      <c r="D5" s="16"/>
      <c r="E5" s="54">
        <v>0</v>
      </c>
      <c r="F5" s="17" t="s">
        <v>4</v>
      </c>
      <c r="G5" s="60">
        <v>0</v>
      </c>
      <c r="H5" s="18" t="str">
        <f t="shared" ref="H5:H13" si="0">IF(E5=""," ",IF(E5-G5&gt;0,1,IF(E5-G5&lt;0,2,"x")))</f>
        <v>x</v>
      </c>
      <c r="I5" s="41"/>
      <c r="J5" s="40"/>
      <c r="K5" s="7">
        <f t="shared" ref="K5:K68" si="1">IF(E5=""," ",IF(E5-G5&gt;0,1,0))</f>
        <v>0</v>
      </c>
      <c r="L5" s="7">
        <f t="shared" ref="L5:L68" si="2">IF(E5=""," ",IF(E5-G5=0,1,0))</f>
        <v>1</v>
      </c>
      <c r="M5" s="7">
        <f t="shared" ref="M5:M68" si="3">IF(E5=""," ",IF(E5-G5&lt;0,1,0))</f>
        <v>0</v>
      </c>
      <c r="O5" s="7">
        <v>2</v>
      </c>
      <c r="P5" s="1" t="s">
        <v>35</v>
      </c>
      <c r="Q5" s="1"/>
      <c r="R5" s="3" t="s">
        <v>20</v>
      </c>
      <c r="S5" s="68">
        <f>SUMIF(domacin,"Manchester United",KEC)</f>
        <v>6</v>
      </c>
      <c r="T5" s="69">
        <f>SUMIF(domacin,"Manchester United",IKS)</f>
        <v>1</v>
      </c>
      <c r="U5" s="69">
        <f>SUMIF(domacin,"Manchester United",Dvojka)</f>
        <v>1</v>
      </c>
      <c r="V5" s="69">
        <f>SUMIF(domacin,"Manchester United",golovi1)</f>
        <v>23</v>
      </c>
      <c r="W5" s="69">
        <f>SUMIF(domacin,"Manchester United",golovi2)</f>
        <v>11</v>
      </c>
      <c r="X5" s="69">
        <f>V5-W5</f>
        <v>12</v>
      </c>
      <c r="Y5" s="35">
        <f>S5*3+T5</f>
        <v>19</v>
      </c>
      <c r="Z5" s="5">
        <f>SUMIF(gost,"Manchester United",Dvojka)</f>
        <v>5</v>
      </c>
      <c r="AA5" s="6">
        <f>SUMIF(gost,"Manchester United",IKS)</f>
        <v>2</v>
      </c>
      <c r="AB5" s="6">
        <f>SUMIF(gost,"Manchester United",KEC)</f>
        <v>0</v>
      </c>
      <c r="AC5" s="6">
        <f>SUMIF(gost,"Manchester United",golovi2)</f>
        <v>12</v>
      </c>
      <c r="AD5" s="6">
        <f>SUMIF(gost,"Manchester United",golovi1)</f>
        <v>3</v>
      </c>
      <c r="AE5" s="4">
        <f>AC5-AD5</f>
        <v>9</v>
      </c>
      <c r="AF5" s="35">
        <f>Z5*3+AA5</f>
        <v>17</v>
      </c>
      <c r="AG5" s="33">
        <f>S5+Z5</f>
        <v>11</v>
      </c>
      <c r="AH5" s="34">
        <f>T5+AA5</f>
        <v>3</v>
      </c>
      <c r="AI5" s="34">
        <f>U5+AB5</f>
        <v>1</v>
      </c>
      <c r="AJ5" s="34">
        <f>AC5+V5</f>
        <v>35</v>
      </c>
      <c r="AK5" s="34">
        <f>AD5+W5</f>
        <v>14</v>
      </c>
      <c r="AL5" s="34">
        <f>AJ5-AK5</f>
        <v>21</v>
      </c>
      <c r="AM5" s="36">
        <f>AG5*3+AH5</f>
        <v>36</v>
      </c>
      <c r="AO5" s="38" t="s">
        <v>24</v>
      </c>
      <c r="AP5" s="1" t="s">
        <v>4</v>
      </c>
      <c r="AQ5" s="45" t="s">
        <v>38</v>
      </c>
      <c r="AR5" s="45"/>
      <c r="AS5" s="45"/>
      <c r="AT5" s="45"/>
      <c r="AU5" s="45"/>
      <c r="AV5" s="45"/>
    </row>
    <row r="6" spans="1:48" ht="13.5" thickBot="1">
      <c r="A6" s="71" t="s">
        <v>7</v>
      </c>
      <c r="B6" s="15" t="s">
        <v>4</v>
      </c>
      <c r="C6" s="74" t="s">
        <v>8</v>
      </c>
      <c r="D6" s="16"/>
      <c r="E6" s="54">
        <v>1</v>
      </c>
      <c r="F6" s="17" t="s">
        <v>4</v>
      </c>
      <c r="G6" s="60">
        <v>1</v>
      </c>
      <c r="H6" s="18" t="str">
        <f t="shared" si="0"/>
        <v>x</v>
      </c>
      <c r="I6" s="41"/>
      <c r="J6" s="40"/>
      <c r="K6" s="7">
        <f t="shared" si="1"/>
        <v>0</v>
      </c>
      <c r="L6" s="7">
        <f t="shared" si="2"/>
        <v>1</v>
      </c>
      <c r="M6" s="7">
        <f t="shared" si="3"/>
        <v>0</v>
      </c>
      <c r="O6" s="7">
        <v>3</v>
      </c>
      <c r="P6" s="1" t="s">
        <v>35</v>
      </c>
      <c r="Q6" s="1"/>
      <c r="R6" s="3" t="s">
        <v>18</v>
      </c>
      <c r="S6" s="68">
        <f>SUMIF(domacin,"Chelsea",KEC)</f>
        <v>6</v>
      </c>
      <c r="T6" s="69">
        <f>SUMIF(domacin,"Chelsea",IKS)</f>
        <v>0</v>
      </c>
      <c r="U6" s="69">
        <f>SUMIF(domacin,"Chelsea",Dvojka)</f>
        <v>2</v>
      </c>
      <c r="V6" s="69">
        <f>SUMIF(domacin,"Chelsea",golovi1)</f>
        <v>21</v>
      </c>
      <c r="W6" s="69">
        <f>SUMIF(domacin,"Chelsea",golovi2)</f>
        <v>12</v>
      </c>
      <c r="X6" s="69">
        <f>V6-W6</f>
        <v>9</v>
      </c>
      <c r="Y6" s="35">
        <f>S6*3+T6</f>
        <v>18</v>
      </c>
      <c r="Z6" s="5">
        <f>SUMIF(gost,"Chelsea",Dvojka)</f>
        <v>4</v>
      </c>
      <c r="AA6" s="6">
        <f>SUMIF(gost,"Chelsea",IKS)</f>
        <v>1</v>
      </c>
      <c r="AB6" s="6">
        <f>SUMIF(gost,"Chelsea",KEC)</f>
        <v>2</v>
      </c>
      <c r="AC6" s="6">
        <f>SUMIF(gost,"Chelsea",golovi2)</f>
        <v>12</v>
      </c>
      <c r="AD6" s="6">
        <f>SUMIF(gost,"Chelsea",golovi1)</f>
        <v>6</v>
      </c>
      <c r="AE6" s="4">
        <f>AC6-AD6</f>
        <v>6</v>
      </c>
      <c r="AF6" s="35">
        <f>Z6*3+AA6</f>
        <v>13</v>
      </c>
      <c r="AG6" s="33">
        <f>S6+Z6</f>
        <v>10</v>
      </c>
      <c r="AH6" s="34">
        <f>T6+AA6</f>
        <v>1</v>
      </c>
      <c r="AI6" s="34">
        <f>U6+AB6</f>
        <v>4</v>
      </c>
      <c r="AJ6" s="34">
        <f>AC6+V6</f>
        <v>33</v>
      </c>
      <c r="AK6" s="34">
        <f>AD6+W6</f>
        <v>18</v>
      </c>
      <c r="AL6" s="34">
        <f>AJ6-AK6</f>
        <v>15</v>
      </c>
      <c r="AM6" s="36">
        <f>AG6*3+AH6</f>
        <v>31</v>
      </c>
      <c r="AO6" s="38" t="s">
        <v>25</v>
      </c>
      <c r="AP6" s="1" t="s">
        <v>4</v>
      </c>
      <c r="AQ6" s="45" t="s">
        <v>39</v>
      </c>
      <c r="AR6" s="45"/>
      <c r="AS6" s="45"/>
      <c r="AT6" s="45"/>
      <c r="AU6" s="45"/>
      <c r="AV6" s="45"/>
    </row>
    <row r="7" spans="1:48" ht="13.5" thickBot="1">
      <c r="A7" s="71" t="s">
        <v>9</v>
      </c>
      <c r="B7" s="15" t="s">
        <v>4</v>
      </c>
      <c r="C7" s="74" t="s">
        <v>10</v>
      </c>
      <c r="D7" s="16"/>
      <c r="E7" s="54">
        <v>0</v>
      </c>
      <c r="F7" s="17" t="s">
        <v>4</v>
      </c>
      <c r="G7" s="60">
        <v>4</v>
      </c>
      <c r="H7" s="18">
        <f t="shared" si="0"/>
        <v>2</v>
      </c>
      <c r="I7" s="41"/>
      <c r="J7" s="40"/>
      <c r="K7" s="7">
        <f t="shared" si="1"/>
        <v>0</v>
      </c>
      <c r="L7" s="7">
        <f t="shared" si="2"/>
        <v>0</v>
      </c>
      <c r="M7" s="7">
        <f t="shared" si="3"/>
        <v>1</v>
      </c>
      <c r="O7" s="7">
        <v>4</v>
      </c>
      <c r="P7" s="2" t="s">
        <v>35</v>
      </c>
      <c r="Q7" s="2"/>
      <c r="R7" s="3" t="s">
        <v>11</v>
      </c>
      <c r="S7" s="68">
        <f>SUMIF(domacin,"Tottenham",KEC)</f>
        <v>5</v>
      </c>
      <c r="T7" s="69">
        <f>SUMIF(domacin,"Tottenham",IKS)</f>
        <v>0</v>
      </c>
      <c r="U7" s="69">
        <f>SUMIF(domacin,"Tottenham",Dvojka)</f>
        <v>1</v>
      </c>
      <c r="V7" s="69">
        <f>SUMIF(domacin,"Tottenham",golovi1)</f>
        <v>15</v>
      </c>
      <c r="W7" s="69">
        <f>SUMIF(domacin,"Tottenham",golovi2)</f>
        <v>7</v>
      </c>
      <c r="X7" s="69">
        <f>V7-W7</f>
        <v>8</v>
      </c>
      <c r="Y7" s="35">
        <f>S7*3+T7</f>
        <v>15</v>
      </c>
      <c r="Z7" s="5">
        <f>SUMIF(gost,"Tottenham",Dvojka)</f>
        <v>5</v>
      </c>
      <c r="AA7" s="6">
        <f>SUMIF(gost,"Tottenham",IKS)</f>
        <v>1</v>
      </c>
      <c r="AB7" s="6">
        <f>SUMIF(gost,"Tottenham",KEC)</f>
        <v>2</v>
      </c>
      <c r="AC7" s="6">
        <f>SUMIF(gost,"Tottenham",golovi2)</f>
        <v>15</v>
      </c>
      <c r="AD7" s="6">
        <f>SUMIF(gost,"Tottenham",golovi1)</f>
        <v>11</v>
      </c>
      <c r="AE7" s="4">
        <f>AC7-AD7</f>
        <v>4</v>
      </c>
      <c r="AF7" s="35">
        <f>Z7*3+AA7</f>
        <v>16</v>
      </c>
      <c r="AG7" s="33">
        <f>S7+Z7</f>
        <v>10</v>
      </c>
      <c r="AH7" s="34">
        <f>T7+AA7</f>
        <v>1</v>
      </c>
      <c r="AI7" s="34">
        <f>U7+AB7</f>
        <v>3</v>
      </c>
      <c r="AJ7" s="34">
        <f>AC7+V7</f>
        <v>30</v>
      </c>
      <c r="AK7" s="34">
        <f>AD7+W7</f>
        <v>18</v>
      </c>
      <c r="AL7" s="34">
        <f>AJ7-AK7</f>
        <v>12</v>
      </c>
      <c r="AM7" s="36">
        <f>AG7*3+AH7</f>
        <v>31</v>
      </c>
      <c r="AO7" s="38" t="s">
        <v>26</v>
      </c>
      <c r="AP7" s="1" t="s">
        <v>4</v>
      </c>
      <c r="AQ7" s="45" t="s">
        <v>40</v>
      </c>
      <c r="AR7" s="45"/>
      <c r="AS7" s="45"/>
      <c r="AT7" s="45"/>
      <c r="AU7" s="45"/>
      <c r="AV7" s="45"/>
    </row>
    <row r="8" spans="1:48" ht="13.5" thickBot="1">
      <c r="A8" s="71" t="s">
        <v>11</v>
      </c>
      <c r="B8" s="15" t="s">
        <v>4</v>
      </c>
      <c r="C8" s="74" t="s">
        <v>12</v>
      </c>
      <c r="D8" s="16"/>
      <c r="E8" s="54"/>
      <c r="F8" s="17" t="s">
        <v>4</v>
      </c>
      <c r="G8" s="60"/>
      <c r="H8" s="18" t="str">
        <f t="shared" si="0"/>
        <v xml:space="preserve"> </v>
      </c>
      <c r="I8" s="41"/>
      <c r="J8" s="40"/>
      <c r="K8" s="7" t="str">
        <f t="shared" si="1"/>
        <v xml:space="preserve"> </v>
      </c>
      <c r="L8" s="7" t="str">
        <f t="shared" si="2"/>
        <v xml:space="preserve"> </v>
      </c>
      <c r="M8" s="7" t="str">
        <f t="shared" si="3"/>
        <v xml:space="preserve"> </v>
      </c>
      <c r="O8" s="7">
        <v>5</v>
      </c>
      <c r="P8" s="2" t="s">
        <v>35</v>
      </c>
      <c r="Q8" s="2"/>
      <c r="R8" s="3" t="s">
        <v>16</v>
      </c>
      <c r="S8" s="68">
        <f>SUMIF(domacin,"Arsenal",KEC)</f>
        <v>6</v>
      </c>
      <c r="T8" s="69">
        <f>SUMIF(domacin,"Arsenal",IKS)</f>
        <v>1</v>
      </c>
      <c r="U8" s="69">
        <f>SUMIF(domacin,"Arsenal",Dvojka)</f>
        <v>1</v>
      </c>
      <c r="V8" s="69">
        <f>SUMIF(domacin,"Arsenal",golovi1)</f>
        <v>14</v>
      </c>
      <c r="W8" s="69">
        <f>SUMIF(domacin,"Arsenal",golovi2)</f>
        <v>5</v>
      </c>
      <c r="X8" s="69">
        <f>V8-W8</f>
        <v>9</v>
      </c>
      <c r="Y8" s="35">
        <f>S8*3+T8</f>
        <v>19</v>
      </c>
      <c r="Z8" s="5">
        <f>SUMIF(gost,"Arsenal",Dvojka)</f>
        <v>3</v>
      </c>
      <c r="AA8" s="6">
        <f>SUMIF(gost,"Arsenal",IKS)</f>
        <v>1</v>
      </c>
      <c r="AB8" s="6">
        <f>SUMIF(gost,"Arsenal",KEC)</f>
        <v>3</v>
      </c>
      <c r="AC8" s="6">
        <f>SUMIF(gost,"Arsenal",golovi2)</f>
        <v>17</v>
      </c>
      <c r="AD8" s="6">
        <f>SUMIF(gost,"Arsenal",golovi1)</f>
        <v>18</v>
      </c>
      <c r="AE8" s="4">
        <f>AC8-AD8</f>
        <v>-1</v>
      </c>
      <c r="AF8" s="35">
        <f>Z8*3+AA8</f>
        <v>10</v>
      </c>
      <c r="AG8" s="33">
        <f>S8+Z8</f>
        <v>9</v>
      </c>
      <c r="AH8" s="34">
        <f>T8+AA8</f>
        <v>2</v>
      </c>
      <c r="AI8" s="34">
        <f>U8+AB8</f>
        <v>4</v>
      </c>
      <c r="AJ8" s="34">
        <f>AC8+V8</f>
        <v>31</v>
      </c>
      <c r="AK8" s="34">
        <f>AD8+W8</f>
        <v>23</v>
      </c>
      <c r="AL8" s="34">
        <f>AJ8-AK8</f>
        <v>8</v>
      </c>
      <c r="AM8" s="36">
        <f>AG8*3+AH8</f>
        <v>29</v>
      </c>
      <c r="AO8" s="38" t="s">
        <v>27</v>
      </c>
      <c r="AP8" s="1" t="s">
        <v>4</v>
      </c>
      <c r="AQ8" s="45" t="s">
        <v>41</v>
      </c>
      <c r="AR8" s="45"/>
      <c r="AS8" s="45"/>
      <c r="AT8" s="45"/>
      <c r="AU8" s="45"/>
      <c r="AV8" s="45"/>
    </row>
    <row r="9" spans="1:48" ht="13.5" thickBot="1">
      <c r="A9" s="71" t="s">
        <v>13</v>
      </c>
      <c r="B9" s="15" t="s">
        <v>4</v>
      </c>
      <c r="C9" s="74" t="s">
        <v>14</v>
      </c>
      <c r="D9" s="16"/>
      <c r="E9" s="54">
        <v>1</v>
      </c>
      <c r="F9" s="17" t="s">
        <v>4</v>
      </c>
      <c r="G9" s="60">
        <v>1</v>
      </c>
      <c r="H9" s="18" t="str">
        <f t="shared" si="0"/>
        <v>x</v>
      </c>
      <c r="I9" s="41"/>
      <c r="J9" s="40"/>
      <c r="K9" s="7">
        <f t="shared" si="1"/>
        <v>0</v>
      </c>
      <c r="L9" s="7">
        <f t="shared" si="2"/>
        <v>1</v>
      </c>
      <c r="M9" s="7">
        <f t="shared" si="3"/>
        <v>0</v>
      </c>
      <c r="O9" s="7">
        <v>6</v>
      </c>
      <c r="P9" s="2" t="s">
        <v>35</v>
      </c>
      <c r="Q9" s="2"/>
      <c r="R9" s="3" t="s">
        <v>7</v>
      </c>
      <c r="S9" s="68">
        <f>SUMIF(domacin,"Liverpool",KEC)</f>
        <v>3</v>
      </c>
      <c r="T9" s="69">
        <f>SUMIF(domacin,"Liverpool",IKS)</f>
        <v>5</v>
      </c>
      <c r="U9" s="69">
        <f>SUMIF(domacin,"Liverpool",Dvojka)</f>
        <v>0</v>
      </c>
      <c r="V9" s="69">
        <f>SUMIF(domacin,"Liverpool",golovi1)</f>
        <v>10</v>
      </c>
      <c r="W9" s="69">
        <f>SUMIF(domacin,"Liverpool",golovi2)</f>
        <v>6</v>
      </c>
      <c r="X9" s="69">
        <f>V9-W9</f>
        <v>4</v>
      </c>
      <c r="Y9" s="35">
        <f>S9*3+T9</f>
        <v>14</v>
      </c>
      <c r="Z9" s="5">
        <f>SUMIF(gost,"Liverpool",Dvojka)</f>
        <v>4</v>
      </c>
      <c r="AA9" s="6">
        <f>SUMIF(gost,"Liverpool",IKS)</f>
        <v>0</v>
      </c>
      <c r="AB9" s="6">
        <f>SUMIF(gost,"Liverpool",KEC)</f>
        <v>3</v>
      </c>
      <c r="AC9" s="6">
        <f>SUMIF(gost,"Liverpool",golovi2)</f>
        <v>8</v>
      </c>
      <c r="AD9" s="6">
        <f>SUMIF(gost,"Liverpool",golovi1)</f>
        <v>7</v>
      </c>
      <c r="AE9" s="4">
        <f>AC9-AD9</f>
        <v>1</v>
      </c>
      <c r="AF9" s="35">
        <f>Z9*3+AA9</f>
        <v>12</v>
      </c>
      <c r="AG9" s="33">
        <f>S9+Z9</f>
        <v>7</v>
      </c>
      <c r="AH9" s="34">
        <f>T9+AA9</f>
        <v>5</v>
      </c>
      <c r="AI9" s="34">
        <f>U9+AB9</f>
        <v>3</v>
      </c>
      <c r="AJ9" s="34">
        <f>AC9+V9</f>
        <v>18</v>
      </c>
      <c r="AK9" s="34">
        <f>AD9+W9</f>
        <v>13</v>
      </c>
      <c r="AL9" s="34">
        <f>AJ9-AK9</f>
        <v>5</v>
      </c>
      <c r="AM9" s="36">
        <f>AG9*3+AH9</f>
        <v>26</v>
      </c>
      <c r="AO9" s="38" t="s">
        <v>28</v>
      </c>
      <c r="AP9" s="1" t="s">
        <v>4</v>
      </c>
      <c r="AQ9" s="45" t="s">
        <v>42</v>
      </c>
      <c r="AR9" s="45"/>
      <c r="AS9" s="45"/>
      <c r="AT9" s="45"/>
      <c r="AU9" s="45"/>
      <c r="AV9" s="45"/>
    </row>
    <row r="10" spans="1:48" ht="13.5" thickBot="1">
      <c r="A10" s="71" t="s">
        <v>15</v>
      </c>
      <c r="B10" s="15" t="s">
        <v>4</v>
      </c>
      <c r="C10" s="74" t="s">
        <v>16</v>
      </c>
      <c r="D10" s="16"/>
      <c r="E10" s="54">
        <v>0</v>
      </c>
      <c r="F10" s="17" t="s">
        <v>4</v>
      </c>
      <c r="G10" s="60">
        <v>0</v>
      </c>
      <c r="H10" s="18" t="str">
        <f t="shared" si="0"/>
        <v>x</v>
      </c>
      <c r="I10" s="41"/>
      <c r="J10" s="40"/>
      <c r="K10" s="7">
        <f t="shared" si="1"/>
        <v>0</v>
      </c>
      <c r="L10" s="7">
        <f t="shared" si="2"/>
        <v>1</v>
      </c>
      <c r="M10" s="7">
        <f t="shared" si="3"/>
        <v>0</v>
      </c>
      <c r="O10" s="7">
        <v>7</v>
      </c>
      <c r="P10" s="2" t="s">
        <v>35</v>
      </c>
      <c r="Q10" s="2"/>
      <c r="R10" s="3" t="s">
        <v>15</v>
      </c>
      <c r="S10" s="68">
        <f>SUMIF(domacin,"Newcastle",KEC)</f>
        <v>4</v>
      </c>
      <c r="T10" s="69">
        <f>SUMIF(domacin,"Newcastle",IKS)</f>
        <v>2</v>
      </c>
      <c r="U10" s="69">
        <f>SUMIF(domacin,"Newcastle",Dvojka)</f>
        <v>1</v>
      </c>
      <c r="V10" s="69">
        <f>SUMIF(domacin,"Newcastle",golovi1)</f>
        <v>10</v>
      </c>
      <c r="W10" s="69">
        <f>SUMIF(domacin,"Newcastle",golovi2)</f>
        <v>8</v>
      </c>
      <c r="X10" s="69">
        <f>V10-W10</f>
        <v>2</v>
      </c>
      <c r="Y10" s="35">
        <f>S10*3+T10</f>
        <v>14</v>
      </c>
      <c r="Z10" s="5">
        <f>SUMIF(gost,"Newcastle",Dvojka)</f>
        <v>3</v>
      </c>
      <c r="AA10" s="6">
        <f>SUMIF(gost,"Newcastle",IKS)</f>
        <v>3</v>
      </c>
      <c r="AB10" s="6">
        <f>SUMIF(gost,"Newcastle",KEC)</f>
        <v>2</v>
      </c>
      <c r="AC10" s="6">
        <f>SUMIF(gost,"Newcastle",golovi2)</f>
        <v>11</v>
      </c>
      <c r="AD10" s="6">
        <f>SUMIF(gost,"Newcastle",golovi1)</f>
        <v>11</v>
      </c>
      <c r="AE10" s="4">
        <f>AC10-AD10</f>
        <v>0</v>
      </c>
      <c r="AF10" s="35">
        <f>Z10*3+AA10</f>
        <v>12</v>
      </c>
      <c r="AG10" s="33">
        <f>S10+Z10</f>
        <v>7</v>
      </c>
      <c r="AH10" s="34">
        <f>T10+AA10</f>
        <v>5</v>
      </c>
      <c r="AI10" s="34">
        <f>U10+AB10</f>
        <v>3</v>
      </c>
      <c r="AJ10" s="34">
        <f>AC10+V10</f>
        <v>21</v>
      </c>
      <c r="AK10" s="34">
        <f>AD10+W10</f>
        <v>19</v>
      </c>
      <c r="AL10" s="34">
        <f>AJ10-AK10</f>
        <v>2</v>
      </c>
      <c r="AM10" s="36">
        <f>AG10*3+AH10</f>
        <v>26</v>
      </c>
      <c r="AO10" s="38" t="s">
        <v>29</v>
      </c>
      <c r="AP10" s="1" t="s">
        <v>4</v>
      </c>
      <c r="AQ10" s="45" t="s">
        <v>43</v>
      </c>
      <c r="AR10" s="45"/>
      <c r="AS10" s="45"/>
      <c r="AT10" s="45"/>
      <c r="AU10" s="45"/>
      <c r="AV10" s="45"/>
    </row>
    <row r="11" spans="1:48" ht="13.5" thickBot="1">
      <c r="A11" s="71" t="s">
        <v>17</v>
      </c>
      <c r="B11" s="15" t="s">
        <v>4</v>
      </c>
      <c r="C11" s="74" t="s">
        <v>18</v>
      </c>
      <c r="D11" s="16"/>
      <c r="E11" s="54">
        <v>0</v>
      </c>
      <c r="F11" s="17" t="s">
        <v>4</v>
      </c>
      <c r="G11" s="60">
        <v>0</v>
      </c>
      <c r="H11" s="18" t="str">
        <f t="shared" si="0"/>
        <v>x</v>
      </c>
      <c r="I11" s="41"/>
      <c r="J11" s="40"/>
      <c r="K11" s="7">
        <f t="shared" si="1"/>
        <v>0</v>
      </c>
      <c r="L11" s="7">
        <f t="shared" si="2"/>
        <v>1</v>
      </c>
      <c r="M11" s="7">
        <f t="shared" si="3"/>
        <v>0</v>
      </c>
      <c r="O11" s="7">
        <v>8</v>
      </c>
      <c r="P11" s="2" t="s">
        <v>35</v>
      </c>
      <c r="Q11" s="2"/>
      <c r="R11" s="3" t="s">
        <v>17</v>
      </c>
      <c r="S11" s="68">
        <f>SUMIF(domacin,"Stoke",KEC)</f>
        <v>4</v>
      </c>
      <c r="T11" s="69">
        <f>SUMIF(domacin,"Stoke",IKS)</f>
        <v>2</v>
      </c>
      <c r="U11" s="69">
        <f>SUMIF(domacin,"Stoke",Dvojka)</f>
        <v>2</v>
      </c>
      <c r="V11" s="69">
        <f>SUMIF(domacin,"Stoke",golovi1)</f>
        <v>12</v>
      </c>
      <c r="W11" s="69">
        <f>SUMIF(domacin,"Stoke",golovi2)</f>
        <v>9</v>
      </c>
      <c r="X11" s="69">
        <f>V11-W11</f>
        <v>3</v>
      </c>
      <c r="Y11" s="35">
        <f>S11*3+T11</f>
        <v>14</v>
      </c>
      <c r="Z11" s="5">
        <f>SUMIF(gost,"Stoke",Dvojka)</f>
        <v>2</v>
      </c>
      <c r="AA11" s="6">
        <f>SUMIF(gost,"Stoke",IKS)</f>
        <v>1</v>
      </c>
      <c r="AB11" s="6">
        <f>SUMIF(gost,"Stoke",KEC)</f>
        <v>4</v>
      </c>
      <c r="AC11" s="6">
        <f>SUMIF(gost,"Stoke",golovi2)</f>
        <v>4</v>
      </c>
      <c r="AD11" s="6">
        <f>SUMIF(gost,"Stoke",golovi1)</f>
        <v>15</v>
      </c>
      <c r="AE11" s="4">
        <f>AC11-AD11</f>
        <v>-11</v>
      </c>
      <c r="AF11" s="35">
        <f>Z11*3+AA11</f>
        <v>7</v>
      </c>
      <c r="AG11" s="33">
        <f>S11+Z11</f>
        <v>6</v>
      </c>
      <c r="AH11" s="34">
        <f>T11+AA11</f>
        <v>3</v>
      </c>
      <c r="AI11" s="34">
        <f>U11+AB11</f>
        <v>6</v>
      </c>
      <c r="AJ11" s="34">
        <f>AC11+V11</f>
        <v>16</v>
      </c>
      <c r="AK11" s="34">
        <f>AD11+W11</f>
        <v>24</v>
      </c>
      <c r="AL11" s="34">
        <f>AJ11-AK11</f>
        <v>-8</v>
      </c>
      <c r="AM11" s="36">
        <f>AG11*3+AH11</f>
        <v>21</v>
      </c>
    </row>
    <row r="12" spans="1:48" ht="13.5" customHeight="1" thickBot="1">
      <c r="A12" s="71" t="s">
        <v>19</v>
      </c>
      <c r="B12" s="15" t="s">
        <v>4</v>
      </c>
      <c r="C12" s="74" t="s">
        <v>20</v>
      </c>
      <c r="D12" s="16"/>
      <c r="E12" s="54">
        <v>1</v>
      </c>
      <c r="F12" s="17" t="s">
        <v>4</v>
      </c>
      <c r="G12" s="60">
        <v>2</v>
      </c>
      <c r="H12" s="18">
        <f t="shared" si="0"/>
        <v>2</v>
      </c>
      <c r="I12" s="41"/>
      <c r="J12" s="40"/>
      <c r="K12" s="7">
        <f t="shared" si="1"/>
        <v>0</v>
      </c>
      <c r="L12" s="7">
        <f t="shared" si="2"/>
        <v>0</v>
      </c>
      <c r="M12" s="7">
        <f t="shared" si="3"/>
        <v>1</v>
      </c>
      <c r="O12" s="7">
        <v>9</v>
      </c>
      <c r="P12" s="2" t="s">
        <v>35</v>
      </c>
      <c r="Q12" s="2"/>
      <c r="R12" s="3" t="s">
        <v>6</v>
      </c>
      <c r="S12" s="68">
        <f>SUMIF(domacin,"Aston Villa",KEC)</f>
        <v>3</v>
      </c>
      <c r="T12" s="69">
        <f>SUMIF(domacin,"Aston Villa",IKS)</f>
        <v>2</v>
      </c>
      <c r="U12" s="69">
        <f>SUMIF(domacin,"Aston Villa",Dvojka)</f>
        <v>2</v>
      </c>
      <c r="V12" s="69">
        <f>SUMIF(domacin,"Aston Villa",golovi1)</f>
        <v>10</v>
      </c>
      <c r="W12" s="69">
        <f>SUMIF(domacin,"Aston Villa",golovi2)</f>
        <v>7</v>
      </c>
      <c r="X12" s="69">
        <f>V12-W12</f>
        <v>3</v>
      </c>
      <c r="Y12" s="35">
        <f>S12*3+T12</f>
        <v>11</v>
      </c>
      <c r="Z12" s="5">
        <f>SUMIF(gost,"Aston Villa",Dvojka)</f>
        <v>1</v>
      </c>
      <c r="AA12" s="6">
        <f>SUMIF(gost,"Aston Villa",IKS)</f>
        <v>5</v>
      </c>
      <c r="AB12" s="6">
        <f>SUMIF(gost,"Aston Villa",KEC)</f>
        <v>2</v>
      </c>
      <c r="AC12" s="6">
        <f>SUMIF(gost,"Aston Villa",golovi2)</f>
        <v>8</v>
      </c>
      <c r="AD12" s="6">
        <f>SUMIF(gost,"Aston Villa",golovi1)</f>
        <v>12</v>
      </c>
      <c r="AE12" s="4">
        <f>AC12-AD12</f>
        <v>-4</v>
      </c>
      <c r="AF12" s="35">
        <f>Z12*3+AA12</f>
        <v>8</v>
      </c>
      <c r="AG12" s="33">
        <f>S12+Z12</f>
        <v>4</v>
      </c>
      <c r="AH12" s="34">
        <f>T12+AA12</f>
        <v>7</v>
      </c>
      <c r="AI12" s="34">
        <f>U12+AB12</f>
        <v>4</v>
      </c>
      <c r="AJ12" s="34">
        <f>AC12+V12</f>
        <v>18</v>
      </c>
      <c r="AK12" s="34">
        <f>AD12+W12</f>
        <v>19</v>
      </c>
      <c r="AL12" s="34">
        <f>AJ12-AK12</f>
        <v>-1</v>
      </c>
      <c r="AM12" s="36">
        <f>AG12*3+AH12</f>
        <v>19</v>
      </c>
      <c r="AO12" s="76" t="s">
        <v>45</v>
      </c>
      <c r="AP12" s="76"/>
      <c r="AQ12" s="76"/>
      <c r="AR12" s="76"/>
      <c r="AS12" s="76"/>
      <c r="AT12" s="76"/>
    </row>
    <row r="13" spans="1:48" ht="13.5" customHeight="1" thickBot="1">
      <c r="A13" s="72" t="s">
        <v>21</v>
      </c>
      <c r="B13" s="19" t="s">
        <v>4</v>
      </c>
      <c r="C13" s="75" t="s">
        <v>22</v>
      </c>
      <c r="D13" s="20"/>
      <c r="E13" s="55">
        <v>4</v>
      </c>
      <c r="F13" s="21" t="s">
        <v>4</v>
      </c>
      <c r="G13" s="61">
        <v>0</v>
      </c>
      <c r="H13" s="22">
        <f t="shared" si="0"/>
        <v>1</v>
      </c>
      <c r="I13" s="41"/>
      <c r="J13" s="40"/>
      <c r="K13" s="7">
        <f t="shared" si="1"/>
        <v>1</v>
      </c>
      <c r="L13" s="7">
        <f t="shared" si="2"/>
        <v>0</v>
      </c>
      <c r="M13" s="7">
        <f t="shared" si="3"/>
        <v>0</v>
      </c>
      <c r="O13" s="7">
        <v>10</v>
      </c>
      <c r="P13" s="2" t="s">
        <v>35</v>
      </c>
      <c r="Q13" s="2"/>
      <c r="R13" s="3" t="s">
        <v>14</v>
      </c>
      <c r="S13" s="68">
        <f>SUMIF(domacin,"Norwich City",KEC)</f>
        <v>4</v>
      </c>
      <c r="T13" s="69">
        <f>SUMIF(domacin,"Norwich City",IKS)</f>
        <v>2</v>
      </c>
      <c r="U13" s="69">
        <f>SUMIF(domacin,"Norwich City",Dvojka)</f>
        <v>2</v>
      </c>
      <c r="V13" s="69">
        <f>SUMIF(domacin,"Norwich City",golovi1)</f>
        <v>16</v>
      </c>
      <c r="W13" s="69">
        <f>SUMIF(domacin,"Norwich City",golovi2)</f>
        <v>12</v>
      </c>
      <c r="X13" s="69">
        <f>V13-W13</f>
        <v>4</v>
      </c>
      <c r="Y13" s="35">
        <f>S13*3+T13</f>
        <v>14</v>
      </c>
      <c r="Z13" s="5">
        <f>SUMIF(gost,"Norwich City",Dvojka)</f>
        <v>1</v>
      </c>
      <c r="AA13" s="6">
        <f>SUMIF(gost,"Norwich City",IKS)</f>
        <v>2</v>
      </c>
      <c r="AB13" s="6">
        <f>SUMIF(gost,"Norwich City",KEC)</f>
        <v>4</v>
      </c>
      <c r="AC13" s="6">
        <f>SUMIF(gost,"Norwich City",golovi2)</f>
        <v>8</v>
      </c>
      <c r="AD13" s="6">
        <f>SUMIF(gost,"Norwich City",golovi1)</f>
        <v>16</v>
      </c>
      <c r="AE13" s="4">
        <f>AC13-AD13</f>
        <v>-8</v>
      </c>
      <c r="AF13" s="35">
        <f>Z13*3+AA13</f>
        <v>5</v>
      </c>
      <c r="AG13" s="33">
        <f>S13+Z13</f>
        <v>5</v>
      </c>
      <c r="AH13" s="34">
        <f>T13+AA13</f>
        <v>4</v>
      </c>
      <c r="AI13" s="34">
        <f>U13+AB13</f>
        <v>6</v>
      </c>
      <c r="AJ13" s="34">
        <f>AC13+V13</f>
        <v>24</v>
      </c>
      <c r="AK13" s="34">
        <f>AD13+W13</f>
        <v>28</v>
      </c>
      <c r="AL13" s="34">
        <f>AJ13-AK13</f>
        <v>-4</v>
      </c>
      <c r="AM13" s="36">
        <f>AG13*3+AH13</f>
        <v>19</v>
      </c>
      <c r="AO13" s="76"/>
      <c r="AP13" s="76"/>
      <c r="AQ13" s="76"/>
      <c r="AR13" s="76"/>
      <c r="AS13" s="76"/>
      <c r="AT13" s="76"/>
    </row>
    <row r="14" spans="1:48" ht="13.5" customHeight="1" thickBot="1">
      <c r="A14" s="70" t="str">
        <f>C6</f>
        <v>Sunderland</v>
      </c>
      <c r="B14" s="11" t="s">
        <v>4</v>
      </c>
      <c r="C14" s="73" t="str">
        <f>A10</f>
        <v>Newcastle</v>
      </c>
      <c r="D14" s="12"/>
      <c r="E14" s="56">
        <v>0</v>
      </c>
      <c r="F14" s="13" t="s">
        <v>4</v>
      </c>
      <c r="G14" s="59">
        <v>1</v>
      </c>
      <c r="H14" s="14">
        <f>IF(E14=""," ",IF(E14-G14&gt;0,1,IF(E14-G14&lt;0,2,"x")))</f>
        <v>2</v>
      </c>
      <c r="I14" s="41">
        <v>2</v>
      </c>
      <c r="K14" s="7">
        <f t="shared" si="1"/>
        <v>0</v>
      </c>
      <c r="L14" s="7">
        <f t="shared" si="2"/>
        <v>0</v>
      </c>
      <c r="M14" s="7">
        <f t="shared" si="3"/>
        <v>1</v>
      </c>
      <c r="O14" s="7">
        <v>11</v>
      </c>
      <c r="P14" s="2" t="s">
        <v>35</v>
      </c>
      <c r="Q14" s="2"/>
      <c r="R14" s="3" t="s">
        <v>22</v>
      </c>
      <c r="S14" s="68">
        <f>SUMIF(domacin,"Swansea City",KEC)</f>
        <v>4</v>
      </c>
      <c r="T14" s="69">
        <f>SUMIF(domacin,"Swansea City",IKS)</f>
        <v>3</v>
      </c>
      <c r="U14" s="69">
        <f>SUMIF(domacin,"Swansea City",Dvojka)</f>
        <v>1</v>
      </c>
      <c r="V14" s="69">
        <f>SUMIF(domacin,"Swansea City",golovi1)</f>
        <v>10</v>
      </c>
      <c r="W14" s="69">
        <f>SUMIF(domacin,"Swansea City",golovi2)</f>
        <v>2</v>
      </c>
      <c r="X14" s="69">
        <f>V14-W14</f>
        <v>8</v>
      </c>
      <c r="Y14" s="35">
        <f>S14*3+T14</f>
        <v>15</v>
      </c>
      <c r="Z14" s="5">
        <f>SUMIF(gost,"Swansea City",Dvojka)</f>
        <v>0</v>
      </c>
      <c r="AA14" s="6">
        <f>SUMIF(gost,"Swansea City",IKS)</f>
        <v>2</v>
      </c>
      <c r="AB14" s="6">
        <f>SUMIF(gost,"Swansea City",KEC)</f>
        <v>5</v>
      </c>
      <c r="AC14" s="6">
        <f>SUMIF(gost,"Swansea City",golovi2)</f>
        <v>6</v>
      </c>
      <c r="AD14" s="6">
        <f>SUMIF(gost,"Swansea City",golovi1)</f>
        <v>18</v>
      </c>
      <c r="AE14" s="4">
        <f>AC14-AD14</f>
        <v>-12</v>
      </c>
      <c r="AF14" s="35">
        <f>Z14*3+AA14</f>
        <v>2</v>
      </c>
      <c r="AG14" s="33">
        <f>S14+Z14</f>
        <v>4</v>
      </c>
      <c r="AH14" s="34">
        <f>T14+AA14</f>
        <v>5</v>
      </c>
      <c r="AI14" s="34">
        <f>U14+AB14</f>
        <v>6</v>
      </c>
      <c r="AJ14" s="34">
        <f>AC14+V14</f>
        <v>16</v>
      </c>
      <c r="AK14" s="34">
        <f>AD14+W14</f>
        <v>20</v>
      </c>
      <c r="AL14" s="34">
        <f>AJ14-AK14</f>
        <v>-4</v>
      </c>
      <c r="AM14" s="36">
        <f>AG14*3+AH14</f>
        <v>17</v>
      </c>
      <c r="AO14" s="76"/>
      <c r="AP14" s="76"/>
      <c r="AQ14" s="76"/>
      <c r="AR14" s="76"/>
      <c r="AS14" s="76"/>
      <c r="AT14" s="76"/>
    </row>
    <row r="15" spans="1:48" ht="13.5" customHeight="1" thickBot="1">
      <c r="A15" s="71" t="str">
        <f>C10</f>
        <v>Arsenal</v>
      </c>
      <c r="B15" s="15" t="s">
        <v>4</v>
      </c>
      <c r="C15" s="74" t="str">
        <f>A6</f>
        <v>Liverpool</v>
      </c>
      <c r="D15" s="16"/>
      <c r="E15" s="57">
        <v>0</v>
      </c>
      <c r="F15" s="17" t="s">
        <v>4</v>
      </c>
      <c r="G15" s="60">
        <v>2</v>
      </c>
      <c r="H15" s="18">
        <f t="shared" ref="H15:H23" si="4">IF(E15=""," ",IF(E15-G15&gt;0,1,IF(E15-G15&lt;0,2,"x")))</f>
        <v>2</v>
      </c>
      <c r="I15" s="41"/>
      <c r="K15" s="7">
        <f t="shared" si="1"/>
        <v>0</v>
      </c>
      <c r="L15" s="7">
        <f t="shared" si="2"/>
        <v>0</v>
      </c>
      <c r="M15" s="7">
        <f t="shared" si="3"/>
        <v>1</v>
      </c>
      <c r="O15" s="7">
        <v>12</v>
      </c>
      <c r="P15" s="2" t="s">
        <v>35</v>
      </c>
      <c r="Q15" s="2"/>
      <c r="R15" s="3" t="s">
        <v>12</v>
      </c>
      <c r="S15" s="68">
        <f>SUMIF(domacin,"Everton",KEC)</f>
        <v>2</v>
      </c>
      <c r="T15" s="69">
        <f>SUMIF(domacin,"Everton",IKS)</f>
        <v>1</v>
      </c>
      <c r="U15" s="69">
        <f>SUMIF(domacin,"Everton",Dvojka)</f>
        <v>4</v>
      </c>
      <c r="V15" s="69">
        <f>SUMIF(domacin,"Everton",golovi1)</f>
        <v>7</v>
      </c>
      <c r="W15" s="69">
        <f>SUMIF(domacin,"Everton",golovi2)</f>
        <v>9</v>
      </c>
      <c r="X15" s="69">
        <f>V15-W15</f>
        <v>-2</v>
      </c>
      <c r="Y15" s="35">
        <f>S15*3+T15</f>
        <v>7</v>
      </c>
      <c r="Z15" s="5">
        <f>SUMIF(gost,"Everton",Dvojka)</f>
        <v>3</v>
      </c>
      <c r="AA15" s="6">
        <f>SUMIF(gost,"Everton",IKS)</f>
        <v>0</v>
      </c>
      <c r="AB15" s="6">
        <f>SUMIF(gost,"Everton",KEC)</f>
        <v>4</v>
      </c>
      <c r="AC15" s="6">
        <f>SUMIF(gost,"Everton",golovi2)</f>
        <v>8</v>
      </c>
      <c r="AD15" s="6">
        <f>SUMIF(gost,"Everton",golovi1)</f>
        <v>9</v>
      </c>
      <c r="AE15" s="4">
        <f>AC15-AD15</f>
        <v>-1</v>
      </c>
      <c r="AF15" s="35">
        <f>Z15*3+AA15</f>
        <v>9</v>
      </c>
      <c r="AG15" s="33">
        <f>S15+Z15</f>
        <v>5</v>
      </c>
      <c r="AH15" s="34">
        <f>T15+AA15</f>
        <v>1</v>
      </c>
      <c r="AI15" s="34">
        <f>U15+AB15</f>
        <v>8</v>
      </c>
      <c r="AJ15" s="34">
        <f>AC15+V15</f>
        <v>15</v>
      </c>
      <c r="AK15" s="34">
        <f>AD15+W15</f>
        <v>18</v>
      </c>
      <c r="AL15" s="34">
        <f>AJ15-AK15</f>
        <v>-3</v>
      </c>
      <c r="AM15" s="36">
        <f>AG15*3+AH15</f>
        <v>16</v>
      </c>
      <c r="AO15" s="76"/>
      <c r="AP15" s="76"/>
      <c r="AQ15" s="76"/>
      <c r="AR15" s="76"/>
      <c r="AS15" s="76"/>
      <c r="AT15" s="76"/>
    </row>
    <row r="16" spans="1:48" ht="13.5" thickBot="1">
      <c r="A16" s="71" t="str">
        <f>C5</f>
        <v>Aston Villa</v>
      </c>
      <c r="B16" s="15" t="s">
        <v>4</v>
      </c>
      <c r="C16" s="74" t="str">
        <f>A4</f>
        <v>Blackburn</v>
      </c>
      <c r="D16" s="16"/>
      <c r="E16" s="57">
        <v>3</v>
      </c>
      <c r="F16" s="17" t="s">
        <v>4</v>
      </c>
      <c r="G16" s="60">
        <v>1</v>
      </c>
      <c r="H16" s="18">
        <f t="shared" si="4"/>
        <v>1</v>
      </c>
      <c r="I16" s="41"/>
      <c r="K16" s="7">
        <f t="shared" si="1"/>
        <v>1</v>
      </c>
      <c r="L16" s="7">
        <f t="shared" si="2"/>
        <v>0</v>
      </c>
      <c r="M16" s="7">
        <f t="shared" si="3"/>
        <v>0</v>
      </c>
      <c r="O16" s="7">
        <v>13</v>
      </c>
      <c r="P16" s="2" t="s">
        <v>35</v>
      </c>
      <c r="Q16" s="2"/>
      <c r="R16" s="3" t="s">
        <v>9</v>
      </c>
      <c r="S16" s="68">
        <f>SUMIF(domacin,"QPR",KEC)</f>
        <v>1</v>
      </c>
      <c r="T16" s="69">
        <f>SUMIF(domacin,"QPR",IKS)</f>
        <v>4</v>
      </c>
      <c r="U16" s="69">
        <f>SUMIF(domacin,"QPR",Dvojka)</f>
        <v>2</v>
      </c>
      <c r="V16" s="69">
        <f>SUMIF(domacin,"QPR",golovi1)</f>
        <v>6</v>
      </c>
      <c r="W16" s="69">
        <f>SUMIF(domacin,"QPR",golovi2)</f>
        <v>10</v>
      </c>
      <c r="X16" s="69">
        <f>V16-W16</f>
        <v>-4</v>
      </c>
      <c r="Y16" s="35">
        <f>S16*3+T16</f>
        <v>7</v>
      </c>
      <c r="Z16" s="5">
        <f>SUMIF(gost,"QPR",Dvojka)</f>
        <v>3</v>
      </c>
      <c r="AA16" s="6">
        <f>SUMIF(gost,"QPR",IKS)</f>
        <v>0</v>
      </c>
      <c r="AB16" s="6">
        <f>SUMIF(gost,"QPR",KEC)</f>
        <v>5</v>
      </c>
      <c r="AC16" s="6">
        <f>SUMIF(gost,"QPR",golovi2)</f>
        <v>9</v>
      </c>
      <c r="AD16" s="6">
        <f>SUMIF(gost,"QPR",golovi1)</f>
        <v>16</v>
      </c>
      <c r="AE16" s="4">
        <f>AC16-AD16</f>
        <v>-7</v>
      </c>
      <c r="AF16" s="35">
        <f>Z16*3+AA16</f>
        <v>9</v>
      </c>
      <c r="AG16" s="33">
        <f>S16+Z16</f>
        <v>4</v>
      </c>
      <c r="AH16" s="34">
        <f>T16+AA16</f>
        <v>4</v>
      </c>
      <c r="AI16" s="34">
        <f>U16+AB16</f>
        <v>7</v>
      </c>
      <c r="AJ16" s="34">
        <f>AC16+V16</f>
        <v>15</v>
      </c>
      <c r="AK16" s="34">
        <f>AD16+W16</f>
        <v>26</v>
      </c>
      <c r="AL16" s="34">
        <f>AJ16-AK16</f>
        <v>-11</v>
      </c>
      <c r="AM16" s="36">
        <f>AG16*3+AH16</f>
        <v>16</v>
      </c>
    </row>
    <row r="17" spans="1:39" ht="13.5" thickBot="1">
      <c r="A17" s="71" t="str">
        <f>C8</f>
        <v>Everton</v>
      </c>
      <c r="B17" s="15" t="s">
        <v>4</v>
      </c>
      <c r="C17" s="74" t="str">
        <f>A7</f>
        <v>QPR</v>
      </c>
      <c r="D17" s="16"/>
      <c r="E17" s="57">
        <v>0</v>
      </c>
      <c r="F17" s="17" t="s">
        <v>4</v>
      </c>
      <c r="G17" s="60">
        <v>1</v>
      </c>
      <c r="H17" s="18">
        <f t="shared" si="4"/>
        <v>2</v>
      </c>
      <c r="I17" s="41"/>
      <c r="K17" s="7">
        <f t="shared" si="1"/>
        <v>0</v>
      </c>
      <c r="L17" s="7">
        <f t="shared" si="2"/>
        <v>0</v>
      </c>
      <c r="M17" s="7">
        <f t="shared" si="3"/>
        <v>1</v>
      </c>
      <c r="O17" s="7">
        <v>14</v>
      </c>
      <c r="P17" s="2" t="s">
        <v>35</v>
      </c>
      <c r="Q17" s="2"/>
      <c r="R17" s="3" t="s">
        <v>5</v>
      </c>
      <c r="S17" s="68">
        <f>SUMIF(domacin,"Fulham",KEC)</f>
        <v>2</v>
      </c>
      <c r="T17" s="69">
        <f>SUMIF(domacin,"Fulham",IKS)</f>
        <v>3</v>
      </c>
      <c r="U17" s="69">
        <f>SUMIF(domacin,"Fulham",Dvojka)</f>
        <v>2</v>
      </c>
      <c r="V17" s="69">
        <f>SUMIF(domacin,"Fulham",golovi1)</f>
        <v>12</v>
      </c>
      <c r="W17" s="69">
        <f>SUMIF(domacin,"Fulham",golovi2)</f>
        <v>9</v>
      </c>
      <c r="X17" s="69">
        <f>V17-W17</f>
        <v>3</v>
      </c>
      <c r="Y17" s="35">
        <f>S17*3+T17</f>
        <v>9</v>
      </c>
      <c r="Z17" s="5">
        <f>SUMIF(gost,"Fulham",Dvojka)</f>
        <v>1</v>
      </c>
      <c r="AA17" s="6">
        <f>SUMIF(gost,"Fulham",IKS)</f>
        <v>3</v>
      </c>
      <c r="AB17" s="6">
        <f>SUMIF(gost,"Fulham",KEC)</f>
        <v>4</v>
      </c>
      <c r="AC17" s="6">
        <f>SUMIF(gost,"Fulham",golovi2)</f>
        <v>4</v>
      </c>
      <c r="AD17" s="6">
        <f>SUMIF(gost,"Fulham",golovi1)</f>
        <v>9</v>
      </c>
      <c r="AE17" s="4">
        <f>AC17-AD17</f>
        <v>-5</v>
      </c>
      <c r="AF17" s="35">
        <f>Z17*3+AA17</f>
        <v>6</v>
      </c>
      <c r="AG17" s="33">
        <f>S17+Z17</f>
        <v>3</v>
      </c>
      <c r="AH17" s="34">
        <f>T17+AA17</f>
        <v>6</v>
      </c>
      <c r="AI17" s="34">
        <f>U17+AB17</f>
        <v>6</v>
      </c>
      <c r="AJ17" s="34">
        <f>AC17+V17</f>
        <v>16</v>
      </c>
      <c r="AK17" s="34">
        <f>AD17+W17</f>
        <v>18</v>
      </c>
      <c r="AL17" s="34">
        <f>AJ17-AK17</f>
        <v>-2</v>
      </c>
      <c r="AM17" s="36">
        <f>AG17*3+AH17</f>
        <v>15</v>
      </c>
    </row>
    <row r="18" spans="1:39" ht="13.5" thickBot="1">
      <c r="A18" s="71" t="str">
        <f>C13</f>
        <v>Swansea City</v>
      </c>
      <c r="B18" s="15" t="s">
        <v>4</v>
      </c>
      <c r="C18" s="74" t="str">
        <f>A9</f>
        <v>Wigan</v>
      </c>
      <c r="D18" s="16"/>
      <c r="E18" s="57">
        <v>0</v>
      </c>
      <c r="F18" s="17" t="s">
        <v>4</v>
      </c>
      <c r="G18" s="60">
        <v>0</v>
      </c>
      <c r="H18" s="18" t="str">
        <f t="shared" si="4"/>
        <v>x</v>
      </c>
      <c r="I18" s="41"/>
      <c r="K18" s="7">
        <f t="shared" si="1"/>
        <v>0</v>
      </c>
      <c r="L18" s="7">
        <f t="shared" si="2"/>
        <v>1</v>
      </c>
      <c r="M18" s="7">
        <f t="shared" si="3"/>
        <v>0</v>
      </c>
      <c r="O18" s="7">
        <v>15</v>
      </c>
      <c r="P18" s="2" t="s">
        <v>35</v>
      </c>
      <c r="Q18" s="2"/>
      <c r="R18" s="3" t="s">
        <v>19</v>
      </c>
      <c r="S18" s="68">
        <f>SUMIF(domacin,"WBA",KEC)</f>
        <v>2</v>
      </c>
      <c r="T18" s="69">
        <f>SUMIF(domacin,"WBA",IKS)</f>
        <v>1</v>
      </c>
      <c r="U18" s="69">
        <f>SUMIF(domacin,"WBA",Dvojka)</f>
        <v>5</v>
      </c>
      <c r="V18" s="69">
        <f>SUMIF(domacin,"WBA",golovi1)</f>
        <v>7</v>
      </c>
      <c r="W18" s="69">
        <f>SUMIF(domacin,"WBA",golovi2)</f>
        <v>11</v>
      </c>
      <c r="X18" s="69">
        <f>V18-W18</f>
        <v>-4</v>
      </c>
      <c r="Y18" s="35">
        <f>S18*3+T18</f>
        <v>7</v>
      </c>
      <c r="Z18" s="5">
        <f>SUMIF(gost,"WBA",Dvojka)</f>
        <v>2</v>
      </c>
      <c r="AA18" s="6">
        <f>SUMIF(gost,"WBA",IKS)</f>
        <v>2</v>
      </c>
      <c r="AB18" s="6">
        <f>SUMIF(gost,"WBA",KEC)</f>
        <v>3</v>
      </c>
      <c r="AC18" s="6">
        <f>SUMIF(gost,"WBA",golovi2)</f>
        <v>7</v>
      </c>
      <c r="AD18" s="6">
        <f>SUMIF(gost,"WBA",golovi1)</f>
        <v>12</v>
      </c>
      <c r="AE18" s="4">
        <f>AC18-AD18</f>
        <v>-5</v>
      </c>
      <c r="AF18" s="35">
        <f>Z18*3+AA18</f>
        <v>8</v>
      </c>
      <c r="AG18" s="33">
        <f>S18+Z18</f>
        <v>4</v>
      </c>
      <c r="AH18" s="34">
        <f>T18+AA18</f>
        <v>3</v>
      </c>
      <c r="AI18" s="34">
        <f>U18+AB18</f>
        <v>8</v>
      </c>
      <c r="AJ18" s="34">
        <f>AC18+V18</f>
        <v>14</v>
      </c>
      <c r="AK18" s="34">
        <f>AD18+W18</f>
        <v>23</v>
      </c>
      <c r="AL18" s="34">
        <f>AJ18-AK18</f>
        <v>-9</v>
      </c>
      <c r="AM18" s="36">
        <f>AG18*3+AH18</f>
        <v>15</v>
      </c>
    </row>
    <row r="19" spans="1:39" ht="13.5" thickBot="1">
      <c r="A19" s="71" t="str">
        <f>C11</f>
        <v>Chelsea</v>
      </c>
      <c r="B19" s="15" t="s">
        <v>4</v>
      </c>
      <c r="C19" s="74" t="str">
        <f>A12</f>
        <v>WBA</v>
      </c>
      <c r="D19" s="16"/>
      <c r="E19" s="57">
        <v>2</v>
      </c>
      <c r="F19" s="17" t="s">
        <v>4</v>
      </c>
      <c r="G19" s="60">
        <v>1</v>
      </c>
      <c r="H19" s="18">
        <f t="shared" si="4"/>
        <v>1</v>
      </c>
      <c r="I19" s="41"/>
      <c r="K19" s="7">
        <f t="shared" si="1"/>
        <v>1</v>
      </c>
      <c r="L19" s="7">
        <f t="shared" si="2"/>
        <v>0</v>
      </c>
      <c r="M19" s="7">
        <f t="shared" si="3"/>
        <v>0</v>
      </c>
      <c r="O19" s="7">
        <v>16</v>
      </c>
      <c r="P19" s="2" t="s">
        <v>35</v>
      </c>
      <c r="Q19" s="2"/>
      <c r="R19" s="3" t="s">
        <v>8</v>
      </c>
      <c r="S19" s="68">
        <f>SUMIF(domacin,"Sunderland",KEC)</f>
        <v>2</v>
      </c>
      <c r="T19" s="69">
        <f>SUMIF(domacin,"Sunderland",IKS)</f>
        <v>3</v>
      </c>
      <c r="U19" s="69">
        <f>SUMIF(domacin,"Sunderland",Dvojka)</f>
        <v>3</v>
      </c>
      <c r="V19" s="69">
        <f>SUMIF(domacin,"Sunderland",golovi1)</f>
        <v>12</v>
      </c>
      <c r="W19" s="69">
        <f>SUMIF(domacin,"Sunderland",golovi2)</f>
        <v>10</v>
      </c>
      <c r="X19" s="69">
        <f>V19-W19</f>
        <v>2</v>
      </c>
      <c r="Y19" s="35">
        <f>S19*3+T19</f>
        <v>9</v>
      </c>
      <c r="Z19" s="5">
        <f>SUMIF(gost,"Sunderland",Dvojka)</f>
        <v>1</v>
      </c>
      <c r="AA19" s="6">
        <f>SUMIF(gost,"Sunderland",IKS)</f>
        <v>2</v>
      </c>
      <c r="AB19" s="6">
        <f>SUMIF(gost,"Sunderland",KEC)</f>
        <v>4</v>
      </c>
      <c r="AC19" s="6">
        <f>SUMIF(gost,"Sunderland",golovi2)</f>
        <v>6</v>
      </c>
      <c r="AD19" s="6">
        <f>SUMIF(gost,"Sunderland",golovi1)</f>
        <v>8</v>
      </c>
      <c r="AE19" s="4">
        <f>AC19-AD19</f>
        <v>-2</v>
      </c>
      <c r="AF19" s="35">
        <f>Z19*3+AA19</f>
        <v>5</v>
      </c>
      <c r="AG19" s="33">
        <f>S19+Z19</f>
        <v>3</v>
      </c>
      <c r="AH19" s="34">
        <f>T19+AA19</f>
        <v>5</v>
      </c>
      <c r="AI19" s="34">
        <f>U19+AB19</f>
        <v>7</v>
      </c>
      <c r="AJ19" s="34">
        <f>AC19+V19</f>
        <v>18</v>
      </c>
      <c r="AK19" s="34">
        <f>AD19+W19</f>
        <v>18</v>
      </c>
      <c r="AL19" s="34">
        <f>AJ19-AK19</f>
        <v>0</v>
      </c>
      <c r="AM19" s="36">
        <f>AG19*3+AH19</f>
        <v>14</v>
      </c>
    </row>
    <row r="20" spans="1:39" ht="13.5" thickBot="1">
      <c r="A20" s="71" t="str">
        <f>C9</f>
        <v>Norwich City</v>
      </c>
      <c r="B20" s="15" t="s">
        <v>4</v>
      </c>
      <c r="C20" s="74" t="str">
        <f>A11</f>
        <v>Stoke</v>
      </c>
      <c r="D20" s="16"/>
      <c r="E20" s="57">
        <v>1</v>
      </c>
      <c r="F20" s="17" t="s">
        <v>4</v>
      </c>
      <c r="G20" s="60">
        <v>1</v>
      </c>
      <c r="H20" s="18" t="str">
        <f t="shared" si="4"/>
        <v>x</v>
      </c>
      <c r="I20" s="41"/>
      <c r="K20" s="7">
        <f t="shared" si="1"/>
        <v>0</v>
      </c>
      <c r="L20" s="7">
        <f t="shared" si="2"/>
        <v>1</v>
      </c>
      <c r="M20" s="7">
        <f t="shared" si="3"/>
        <v>0</v>
      </c>
      <c r="O20" s="7">
        <v>17</v>
      </c>
      <c r="P20" s="2" t="s">
        <v>35</v>
      </c>
      <c r="Q20" s="2"/>
      <c r="R20" s="3" t="s">
        <v>3</v>
      </c>
      <c r="S20" s="68">
        <f>SUMIF(domacin,"Wolverhampton",KEC)</f>
        <v>3</v>
      </c>
      <c r="T20" s="69">
        <f>SUMIF(domacin,"Wolverhampton",IKS)</f>
        <v>1</v>
      </c>
      <c r="U20" s="69">
        <f>SUMIF(domacin,"Wolverhampton",Dvojka)</f>
        <v>3</v>
      </c>
      <c r="V20" s="69">
        <f>SUMIF(domacin,"Wolverhampton",golovi1)</f>
        <v>10</v>
      </c>
      <c r="W20" s="69">
        <f>SUMIF(domacin,"Wolverhampton",golovi2)</f>
        <v>11</v>
      </c>
      <c r="X20" s="69">
        <f>V20-W20</f>
        <v>-1</v>
      </c>
      <c r="Y20" s="35">
        <f>S20*3+T20</f>
        <v>10</v>
      </c>
      <c r="Z20" s="5">
        <f>SUMIF(gost,"Wolverhampton",Dvojka)</f>
        <v>1</v>
      </c>
      <c r="AA20" s="6">
        <f>SUMIF(gost,"Wolverhampton",IKS)</f>
        <v>1</v>
      </c>
      <c r="AB20" s="6">
        <f>SUMIF(gost,"Wolverhampton",KEC)</f>
        <v>6</v>
      </c>
      <c r="AC20" s="6">
        <f>SUMIF(gost,"Wolverhampton",golovi2)</f>
        <v>6</v>
      </c>
      <c r="AD20" s="6">
        <f>SUMIF(gost,"Wolverhampton",golovi1)</f>
        <v>17</v>
      </c>
      <c r="AE20" s="4">
        <f>AC20-AD20</f>
        <v>-11</v>
      </c>
      <c r="AF20" s="35">
        <f>Z20*3+AA20</f>
        <v>4</v>
      </c>
      <c r="AG20" s="33">
        <f>S20+Z20</f>
        <v>4</v>
      </c>
      <c r="AH20" s="34">
        <f>T20+AA20</f>
        <v>2</v>
      </c>
      <c r="AI20" s="34">
        <f>U20+AB20</f>
        <v>9</v>
      </c>
      <c r="AJ20" s="34">
        <f>AC20+V20</f>
        <v>16</v>
      </c>
      <c r="AK20" s="34">
        <f>AD20+W20</f>
        <v>28</v>
      </c>
      <c r="AL20" s="34">
        <f>AJ20-AK20</f>
        <v>-12</v>
      </c>
      <c r="AM20" s="36">
        <f>AG20*3+AH20</f>
        <v>14</v>
      </c>
    </row>
    <row r="21" spans="1:39" ht="13.5" thickBot="1">
      <c r="A21" s="71" t="str">
        <f>C4</f>
        <v>Wolverhampton</v>
      </c>
      <c r="B21" s="15" t="s">
        <v>4</v>
      </c>
      <c r="C21" s="74" t="str">
        <f>A5</f>
        <v>Fulham</v>
      </c>
      <c r="D21" s="16"/>
      <c r="E21" s="57">
        <v>2</v>
      </c>
      <c r="F21" s="17" t="s">
        <v>4</v>
      </c>
      <c r="G21" s="60">
        <v>0</v>
      </c>
      <c r="H21" s="18">
        <f t="shared" si="4"/>
        <v>1</v>
      </c>
      <c r="I21" s="41"/>
      <c r="K21" s="7">
        <f t="shared" si="1"/>
        <v>1</v>
      </c>
      <c r="L21" s="7">
        <f t="shared" si="2"/>
        <v>0</v>
      </c>
      <c r="M21" s="7">
        <f t="shared" si="3"/>
        <v>0</v>
      </c>
      <c r="O21" s="7">
        <v>18</v>
      </c>
      <c r="P21" s="2" t="s">
        <v>35</v>
      </c>
      <c r="Q21" s="2"/>
      <c r="R21" s="3" t="s">
        <v>13</v>
      </c>
      <c r="S21" s="68">
        <f>SUMIF(domacin,"Wigan",KEC)</f>
        <v>1</v>
      </c>
      <c r="T21" s="69">
        <f>SUMIF(domacin,"Wigan",IKS)</f>
        <v>2</v>
      </c>
      <c r="U21" s="69">
        <f>SUMIF(domacin,"Wigan",Dvojka)</f>
        <v>4</v>
      </c>
      <c r="V21" s="69">
        <f>SUMIF(domacin,"Wigan",golovi1)</f>
        <v>8</v>
      </c>
      <c r="W21" s="69">
        <f>SUMIF(domacin,"Wigan",golovi2)</f>
        <v>15</v>
      </c>
      <c r="X21" s="69">
        <f>V21-W21</f>
        <v>-7</v>
      </c>
      <c r="Y21" s="35">
        <f>S21*3+T21</f>
        <v>5</v>
      </c>
      <c r="Z21" s="5">
        <f>SUMIF(gost,"Wigan",Dvojka)</f>
        <v>2</v>
      </c>
      <c r="AA21" s="6">
        <f>SUMIF(gost,"Wigan",IKS)</f>
        <v>1</v>
      </c>
      <c r="AB21" s="6">
        <f>SUMIF(gost,"Wigan",KEC)</f>
        <v>5</v>
      </c>
      <c r="AC21" s="6">
        <f>SUMIF(gost,"Wigan",golovi2)</f>
        <v>6</v>
      </c>
      <c r="AD21" s="6">
        <f>SUMIF(gost,"Wigan",golovi1)</f>
        <v>14</v>
      </c>
      <c r="AE21" s="4">
        <f>AC21-AD21</f>
        <v>-8</v>
      </c>
      <c r="AF21" s="35">
        <f>Z21*3+AA21</f>
        <v>7</v>
      </c>
      <c r="AG21" s="33">
        <f>S21+Z21</f>
        <v>3</v>
      </c>
      <c r="AH21" s="34">
        <f>T21+AA21</f>
        <v>3</v>
      </c>
      <c r="AI21" s="34">
        <f>U21+AB21</f>
        <v>9</v>
      </c>
      <c r="AJ21" s="34">
        <f>AC21+V21</f>
        <v>14</v>
      </c>
      <c r="AK21" s="34">
        <f>AD21+W21</f>
        <v>29</v>
      </c>
      <c r="AL21" s="34">
        <f>AJ21-AK21</f>
        <v>-15</v>
      </c>
      <c r="AM21" s="36">
        <f>AG21*3+AH21</f>
        <v>12</v>
      </c>
    </row>
    <row r="22" spans="1:39" ht="13.5" thickBot="1">
      <c r="A22" s="71" t="str">
        <f>C7</f>
        <v>Bolton</v>
      </c>
      <c r="B22" s="15" t="s">
        <v>4</v>
      </c>
      <c r="C22" s="74" t="str">
        <f>A13</f>
        <v>Manchester City</v>
      </c>
      <c r="D22" s="16"/>
      <c r="E22" s="57">
        <v>2</v>
      </c>
      <c r="F22" s="17" t="s">
        <v>4</v>
      </c>
      <c r="G22" s="60">
        <v>3</v>
      </c>
      <c r="H22" s="18">
        <f t="shared" si="4"/>
        <v>2</v>
      </c>
      <c r="I22" s="41"/>
      <c r="K22" s="7">
        <f t="shared" si="1"/>
        <v>0</v>
      </c>
      <c r="L22" s="7">
        <f t="shared" si="2"/>
        <v>0</v>
      </c>
      <c r="M22" s="7">
        <f t="shared" si="3"/>
        <v>1</v>
      </c>
      <c r="O22" s="7">
        <v>19</v>
      </c>
      <c r="P22" s="2" t="s">
        <v>35</v>
      </c>
      <c r="Q22" s="2"/>
      <c r="R22" s="3" t="s">
        <v>2</v>
      </c>
      <c r="S22" s="68">
        <f>SUMIF(domacin,"Blackburn",KEC)</f>
        <v>2</v>
      </c>
      <c r="T22" s="69">
        <f>SUMIF(domacin,"Blackburn",IKS)</f>
        <v>0</v>
      </c>
      <c r="U22" s="69">
        <f>SUMIF(domacin,"Blackburn",Dvojka)</f>
        <v>5</v>
      </c>
      <c r="V22" s="69">
        <f>SUMIF(domacin,"Blackburn",golovi1)</f>
        <v>10</v>
      </c>
      <c r="W22" s="69">
        <f>SUMIF(domacin,"Blackburn",golovi2)</f>
        <v>15</v>
      </c>
      <c r="X22" s="69">
        <f>V22-W22</f>
        <v>-5</v>
      </c>
      <c r="Y22" s="35">
        <f>S22*3+T22</f>
        <v>6</v>
      </c>
      <c r="Z22" s="5">
        <f>SUMIF(gost,"Blackburn",Dvojka)</f>
        <v>0</v>
      </c>
      <c r="AA22" s="6">
        <f>SUMIF(gost,"Blackburn",IKS)</f>
        <v>4</v>
      </c>
      <c r="AB22" s="6">
        <f>SUMIF(gost,"Blackburn",KEC)</f>
        <v>4</v>
      </c>
      <c r="AC22" s="6">
        <f>SUMIF(gost,"Blackburn",golovi2)</f>
        <v>12</v>
      </c>
      <c r="AD22" s="6">
        <f>SUMIF(gost,"Blackburn",golovi1)</f>
        <v>19</v>
      </c>
      <c r="AE22" s="4">
        <f>AC22-AD22</f>
        <v>-7</v>
      </c>
      <c r="AF22" s="35">
        <f>Z22*3+AA22</f>
        <v>4</v>
      </c>
      <c r="AG22" s="33">
        <f>S22+Z22</f>
        <v>2</v>
      </c>
      <c r="AH22" s="34">
        <f>T22+AA22</f>
        <v>4</v>
      </c>
      <c r="AI22" s="34">
        <f>U22+AB22</f>
        <v>9</v>
      </c>
      <c r="AJ22" s="34">
        <f>AC22+V22</f>
        <v>22</v>
      </c>
      <c r="AK22" s="34">
        <f>AD22+W22</f>
        <v>34</v>
      </c>
      <c r="AL22" s="34">
        <f>AJ22-AK22</f>
        <v>-12</v>
      </c>
      <c r="AM22" s="36">
        <f>AG22*3+AH22</f>
        <v>10</v>
      </c>
    </row>
    <row r="23" spans="1:39" ht="13.5" thickBot="1">
      <c r="A23" s="72" t="str">
        <f>C12</f>
        <v>Manchester United</v>
      </c>
      <c r="B23" s="19" t="s">
        <v>4</v>
      </c>
      <c r="C23" s="75" t="str">
        <f>A8</f>
        <v>Tottenham</v>
      </c>
      <c r="D23" s="20"/>
      <c r="E23" s="58">
        <v>3</v>
      </c>
      <c r="F23" s="21" t="s">
        <v>4</v>
      </c>
      <c r="G23" s="61">
        <v>0</v>
      </c>
      <c r="H23" s="22">
        <f t="shared" si="4"/>
        <v>1</v>
      </c>
      <c r="I23" s="41"/>
      <c r="K23" s="7">
        <f t="shared" si="1"/>
        <v>1</v>
      </c>
      <c r="L23" s="7">
        <f t="shared" si="2"/>
        <v>0</v>
      </c>
      <c r="M23" s="7">
        <f t="shared" si="3"/>
        <v>0</v>
      </c>
      <c r="O23" s="7">
        <v>20</v>
      </c>
      <c r="P23" s="2" t="s">
        <v>35</v>
      </c>
      <c r="Q23" s="2"/>
      <c r="R23" s="3" t="s">
        <v>10</v>
      </c>
      <c r="S23" s="68">
        <f>SUMIF(domacin,"Bolton",KEC)</f>
        <v>1</v>
      </c>
      <c r="T23" s="69">
        <f>SUMIF(domacin,"Bolton",IKS)</f>
        <v>0</v>
      </c>
      <c r="U23" s="69">
        <f>SUMIF(domacin,"Bolton",Dvojka)</f>
        <v>7</v>
      </c>
      <c r="V23" s="69">
        <f>SUMIF(domacin,"Bolton",golovi1)</f>
        <v>10</v>
      </c>
      <c r="W23" s="69">
        <f>SUMIF(domacin,"Bolton",golovi2)</f>
        <v>21</v>
      </c>
      <c r="X23" s="69">
        <f>V23-W23</f>
        <v>-11</v>
      </c>
      <c r="Y23" s="35">
        <f>S23*3+T23</f>
        <v>3</v>
      </c>
      <c r="Z23" s="5">
        <f>SUMIF(gost,"Bolton",Dvojka)</f>
        <v>2</v>
      </c>
      <c r="AA23" s="6">
        <f>SUMIF(gost,"Bolton",IKS)</f>
        <v>0</v>
      </c>
      <c r="AB23" s="6">
        <f>SUMIF(gost,"Bolton",KEC)</f>
        <v>5</v>
      </c>
      <c r="AC23" s="6">
        <f>SUMIF(gost,"Bolton",golovi2)</f>
        <v>10</v>
      </c>
      <c r="AD23" s="6">
        <f>SUMIF(gost,"Bolton",golovi1)</f>
        <v>15</v>
      </c>
      <c r="AE23" s="4">
        <f>AC23-AD23</f>
        <v>-5</v>
      </c>
      <c r="AF23" s="35">
        <f>Z23*3+AA23</f>
        <v>6</v>
      </c>
      <c r="AG23" s="33">
        <f>S23+Z23</f>
        <v>3</v>
      </c>
      <c r="AH23" s="34">
        <f>T23+AA23</f>
        <v>0</v>
      </c>
      <c r="AI23" s="34">
        <f>U23+AB23</f>
        <v>12</v>
      </c>
      <c r="AJ23" s="34">
        <f>AC23+V23</f>
        <v>20</v>
      </c>
      <c r="AK23" s="34">
        <f>AD23+W23</f>
        <v>36</v>
      </c>
      <c r="AL23" s="34">
        <f>AJ23-AK23</f>
        <v>-16</v>
      </c>
      <c r="AM23" s="36">
        <f>AG23*3+AH23</f>
        <v>9</v>
      </c>
    </row>
    <row r="24" spans="1:39">
      <c r="A24" s="70" t="str">
        <f>A16</f>
        <v>Aston Villa</v>
      </c>
      <c r="B24" s="11" t="s">
        <v>4</v>
      </c>
      <c r="C24" s="73" t="str">
        <f>A21</f>
        <v>Wolverhampton</v>
      </c>
      <c r="D24" s="12"/>
      <c r="E24" s="56">
        <v>0</v>
      </c>
      <c r="F24" s="13" t="s">
        <v>4</v>
      </c>
      <c r="G24" s="59">
        <v>0</v>
      </c>
      <c r="H24" s="14" t="str">
        <f>IF(E24=""," ",IF(E24-G24&gt;0,1,IF(E24-G24&lt;0,2,"x")))</f>
        <v>x</v>
      </c>
      <c r="I24" s="41">
        <v>3</v>
      </c>
      <c r="K24" s="7">
        <f t="shared" si="1"/>
        <v>0</v>
      </c>
      <c r="L24" s="7">
        <f t="shared" si="2"/>
        <v>1</v>
      </c>
      <c r="M24" s="7">
        <f t="shared" si="3"/>
        <v>0</v>
      </c>
    </row>
    <row r="25" spans="1:39">
      <c r="A25" s="71" t="str">
        <f>C18</f>
        <v>Wigan</v>
      </c>
      <c r="B25" s="15" t="s">
        <v>4</v>
      </c>
      <c r="C25" s="74" t="str">
        <f>C17</f>
        <v>QPR</v>
      </c>
      <c r="D25" s="16"/>
      <c r="E25" s="57">
        <v>2</v>
      </c>
      <c r="F25" s="17" t="s">
        <v>4</v>
      </c>
      <c r="G25" s="60">
        <v>0</v>
      </c>
      <c r="H25" s="18">
        <f t="shared" ref="H25:H33" si="5">IF(E25=""," ",IF(E25-G25&gt;0,1,IF(E25-G25&lt;0,2,"x")))</f>
        <v>1</v>
      </c>
      <c r="I25" s="41"/>
      <c r="K25" s="7">
        <f t="shared" si="1"/>
        <v>1</v>
      </c>
      <c r="L25" s="7">
        <f t="shared" si="2"/>
        <v>0</v>
      </c>
      <c r="M25" s="7">
        <f t="shared" si="3"/>
        <v>0</v>
      </c>
    </row>
    <row r="26" spans="1:39">
      <c r="A26" s="71" t="str">
        <f>C16</f>
        <v>Blackburn</v>
      </c>
      <c r="B26" s="15" t="s">
        <v>4</v>
      </c>
      <c r="C26" s="74" t="str">
        <f>A17</f>
        <v>Everton</v>
      </c>
      <c r="D26" s="16"/>
      <c r="E26" s="57">
        <v>0</v>
      </c>
      <c r="F26" s="17" t="s">
        <v>4</v>
      </c>
      <c r="G26" s="60">
        <v>1</v>
      </c>
      <c r="H26" s="18">
        <f t="shared" si="5"/>
        <v>2</v>
      </c>
      <c r="I26" s="41"/>
      <c r="K26" s="7">
        <f t="shared" si="1"/>
        <v>0</v>
      </c>
      <c r="L26" s="7">
        <f t="shared" si="2"/>
        <v>0</v>
      </c>
      <c r="M26" s="7">
        <f t="shared" si="3"/>
        <v>1</v>
      </c>
    </row>
    <row r="27" spans="1:39">
      <c r="A27" s="71" t="str">
        <f>A19</f>
        <v>Chelsea</v>
      </c>
      <c r="B27" s="15" t="s">
        <v>4</v>
      </c>
      <c r="C27" s="74" t="str">
        <f>A20</f>
        <v>Norwich City</v>
      </c>
      <c r="D27" s="16"/>
      <c r="E27" s="57">
        <v>3</v>
      </c>
      <c r="F27" s="17" t="s">
        <v>4</v>
      </c>
      <c r="G27" s="60">
        <v>1</v>
      </c>
      <c r="H27" s="18">
        <f t="shared" si="5"/>
        <v>1</v>
      </c>
      <c r="I27" s="41"/>
      <c r="K27" s="7">
        <f t="shared" si="1"/>
        <v>1</v>
      </c>
      <c r="L27" s="7">
        <f t="shared" si="2"/>
        <v>0</v>
      </c>
      <c r="M27" s="7">
        <f t="shared" si="3"/>
        <v>0</v>
      </c>
    </row>
    <row r="28" spans="1:39">
      <c r="A28" s="71" t="str">
        <f>A18</f>
        <v>Swansea City</v>
      </c>
      <c r="B28" s="15" t="s">
        <v>4</v>
      </c>
      <c r="C28" s="74" t="str">
        <f>A14</f>
        <v>Sunderland</v>
      </c>
      <c r="D28" s="16"/>
      <c r="E28" s="57">
        <v>0</v>
      </c>
      <c r="F28" s="17" t="s">
        <v>4</v>
      </c>
      <c r="G28" s="60">
        <v>0</v>
      </c>
      <c r="H28" s="18" t="str">
        <f t="shared" si="5"/>
        <v>x</v>
      </c>
      <c r="I28" s="41"/>
      <c r="K28" s="7">
        <f t="shared" si="1"/>
        <v>0</v>
      </c>
      <c r="L28" s="7">
        <f t="shared" si="2"/>
        <v>1</v>
      </c>
      <c r="M28" s="7">
        <f t="shared" si="3"/>
        <v>0</v>
      </c>
    </row>
    <row r="29" spans="1:39">
      <c r="A29" s="71" t="str">
        <f>C15</f>
        <v>Liverpool</v>
      </c>
      <c r="B29" s="15" t="s">
        <v>4</v>
      </c>
      <c r="C29" s="74" t="str">
        <f>A22</f>
        <v>Bolton</v>
      </c>
      <c r="D29" s="16"/>
      <c r="E29" s="57">
        <v>3</v>
      </c>
      <c r="F29" s="17" t="s">
        <v>4</v>
      </c>
      <c r="G29" s="60">
        <v>1</v>
      </c>
      <c r="H29" s="18">
        <f t="shared" si="5"/>
        <v>1</v>
      </c>
      <c r="I29" s="41"/>
      <c r="K29" s="7">
        <f t="shared" si="1"/>
        <v>1</v>
      </c>
      <c r="L29" s="7">
        <f t="shared" si="2"/>
        <v>0</v>
      </c>
      <c r="M29" s="7">
        <f t="shared" si="3"/>
        <v>0</v>
      </c>
    </row>
    <row r="30" spans="1:39">
      <c r="A30" s="71" t="str">
        <f>C14</f>
        <v>Newcastle</v>
      </c>
      <c r="B30" s="15" t="s">
        <v>4</v>
      </c>
      <c r="C30" s="74" t="str">
        <f>C21</f>
        <v>Fulham</v>
      </c>
      <c r="D30" s="16"/>
      <c r="E30" s="57">
        <v>2</v>
      </c>
      <c r="F30" s="17" t="s">
        <v>4</v>
      </c>
      <c r="G30" s="60">
        <v>1</v>
      </c>
      <c r="H30" s="18">
        <f t="shared" si="5"/>
        <v>1</v>
      </c>
      <c r="I30" s="41"/>
      <c r="K30" s="7">
        <f t="shared" si="1"/>
        <v>1</v>
      </c>
      <c r="L30" s="7">
        <f t="shared" si="2"/>
        <v>0</v>
      </c>
      <c r="M30" s="7">
        <f t="shared" si="3"/>
        <v>0</v>
      </c>
    </row>
    <row r="31" spans="1:39">
      <c r="A31" s="71" t="str">
        <f>C23</f>
        <v>Tottenham</v>
      </c>
      <c r="B31" s="15" t="s">
        <v>4</v>
      </c>
      <c r="C31" s="74" t="str">
        <f>C22</f>
        <v>Manchester City</v>
      </c>
      <c r="D31" s="16"/>
      <c r="E31" s="57">
        <v>1</v>
      </c>
      <c r="F31" s="17" t="s">
        <v>4</v>
      </c>
      <c r="G31" s="60">
        <v>5</v>
      </c>
      <c r="H31" s="18">
        <f t="shared" si="5"/>
        <v>2</v>
      </c>
      <c r="I31" s="41"/>
      <c r="K31" s="7">
        <f t="shared" si="1"/>
        <v>0</v>
      </c>
      <c r="L31" s="7">
        <f t="shared" si="2"/>
        <v>0</v>
      </c>
      <c r="M31" s="7">
        <f t="shared" si="3"/>
        <v>1</v>
      </c>
    </row>
    <row r="32" spans="1:39">
      <c r="A32" s="71" t="str">
        <f>C19</f>
        <v>WBA</v>
      </c>
      <c r="B32" s="15" t="s">
        <v>4</v>
      </c>
      <c r="C32" s="74" t="str">
        <f>C20</f>
        <v>Stoke</v>
      </c>
      <c r="D32" s="16"/>
      <c r="E32" s="57">
        <v>0</v>
      </c>
      <c r="F32" s="17" t="s">
        <v>4</v>
      </c>
      <c r="G32" s="60">
        <v>1</v>
      </c>
      <c r="H32" s="18">
        <f t="shared" si="5"/>
        <v>2</v>
      </c>
      <c r="I32" s="41"/>
      <c r="K32" s="7">
        <f t="shared" si="1"/>
        <v>0</v>
      </c>
      <c r="L32" s="7">
        <f t="shared" si="2"/>
        <v>0</v>
      </c>
      <c r="M32" s="7">
        <f t="shared" si="3"/>
        <v>1</v>
      </c>
    </row>
    <row r="33" spans="1:13" ht="13.5" thickBot="1">
      <c r="A33" s="72" t="str">
        <f>A23</f>
        <v>Manchester United</v>
      </c>
      <c r="B33" s="19" t="s">
        <v>4</v>
      </c>
      <c r="C33" s="75" t="str">
        <f>A15</f>
        <v>Arsenal</v>
      </c>
      <c r="D33" s="20"/>
      <c r="E33" s="58">
        <v>8</v>
      </c>
      <c r="F33" s="21" t="s">
        <v>4</v>
      </c>
      <c r="G33" s="61">
        <v>2</v>
      </c>
      <c r="H33" s="22">
        <f t="shared" si="5"/>
        <v>1</v>
      </c>
      <c r="I33" s="41"/>
      <c r="K33" s="7">
        <f t="shared" si="1"/>
        <v>1</v>
      </c>
      <c r="L33" s="7">
        <f t="shared" si="2"/>
        <v>0</v>
      </c>
      <c r="M33" s="7">
        <f t="shared" si="3"/>
        <v>0</v>
      </c>
    </row>
    <row r="34" spans="1:13">
      <c r="A34" s="70" t="str">
        <f>C33</f>
        <v>Arsenal</v>
      </c>
      <c r="B34" s="11" t="s">
        <v>4</v>
      </c>
      <c r="C34" s="73" t="str">
        <f>A28</f>
        <v>Swansea City</v>
      </c>
      <c r="D34" s="12"/>
      <c r="E34" s="56">
        <v>1</v>
      </c>
      <c r="F34" s="13" t="s">
        <v>4</v>
      </c>
      <c r="G34" s="59">
        <v>0</v>
      </c>
      <c r="H34" s="14">
        <f>IF(E34=""," ",IF(E34-G34&gt;0,1,IF(E34-G34&lt;0,2,"x")))</f>
        <v>1</v>
      </c>
      <c r="I34" s="41">
        <v>4</v>
      </c>
      <c r="K34" s="7">
        <f t="shared" si="1"/>
        <v>1</v>
      </c>
      <c r="L34" s="7">
        <f t="shared" si="2"/>
        <v>0</v>
      </c>
      <c r="M34" s="7">
        <f t="shared" si="3"/>
        <v>0</v>
      </c>
    </row>
    <row r="35" spans="1:13">
      <c r="A35" s="71" t="str">
        <f>C26</f>
        <v>Everton</v>
      </c>
      <c r="B35" s="15" t="s">
        <v>4</v>
      </c>
      <c r="C35" s="74" t="str">
        <f>A24</f>
        <v>Aston Villa</v>
      </c>
      <c r="D35" s="16"/>
      <c r="E35" s="57">
        <v>2</v>
      </c>
      <c r="F35" s="17" t="s">
        <v>4</v>
      </c>
      <c r="G35" s="60">
        <v>2</v>
      </c>
      <c r="H35" s="18" t="str">
        <f t="shared" ref="H35:H43" si="6">IF(E35=""," ",IF(E35-G35&gt;0,1,IF(E35-G35&lt;0,2,"x")))</f>
        <v>x</v>
      </c>
      <c r="I35" s="41"/>
      <c r="K35" s="7">
        <f t="shared" si="1"/>
        <v>0</v>
      </c>
      <c r="L35" s="7">
        <f t="shared" si="2"/>
        <v>1</v>
      </c>
      <c r="M35" s="7">
        <f t="shared" si="3"/>
        <v>0</v>
      </c>
    </row>
    <row r="36" spans="1:13">
      <c r="A36" s="71" t="str">
        <f>C31</f>
        <v>Manchester City</v>
      </c>
      <c r="B36" s="15" t="s">
        <v>4</v>
      </c>
      <c r="C36" s="74" t="str">
        <f>A25</f>
        <v>Wigan</v>
      </c>
      <c r="D36" s="16"/>
      <c r="E36" s="57">
        <v>3</v>
      </c>
      <c r="F36" s="17" t="s">
        <v>4</v>
      </c>
      <c r="G36" s="60">
        <v>0</v>
      </c>
      <c r="H36" s="18">
        <f t="shared" si="6"/>
        <v>1</v>
      </c>
      <c r="I36" s="41"/>
      <c r="K36" s="7">
        <f t="shared" si="1"/>
        <v>1</v>
      </c>
      <c r="L36" s="7">
        <f t="shared" si="2"/>
        <v>0</v>
      </c>
      <c r="M36" s="7">
        <f t="shared" si="3"/>
        <v>0</v>
      </c>
    </row>
    <row r="37" spans="1:13">
      <c r="A37" s="71" t="str">
        <f>C32</f>
        <v>Stoke</v>
      </c>
      <c r="B37" s="15" t="s">
        <v>4</v>
      </c>
      <c r="C37" s="74" t="str">
        <f>A29</f>
        <v>Liverpool</v>
      </c>
      <c r="D37" s="16"/>
      <c r="E37" s="57">
        <v>1</v>
      </c>
      <c r="F37" s="17" t="s">
        <v>4</v>
      </c>
      <c r="G37" s="60">
        <v>0</v>
      </c>
      <c r="H37" s="18">
        <f t="shared" si="6"/>
        <v>1</v>
      </c>
      <c r="I37" s="41"/>
      <c r="K37" s="7">
        <f t="shared" si="1"/>
        <v>1</v>
      </c>
      <c r="L37" s="7">
        <f t="shared" si="2"/>
        <v>0</v>
      </c>
      <c r="M37" s="7">
        <f t="shared" si="3"/>
        <v>0</v>
      </c>
    </row>
    <row r="38" spans="1:13">
      <c r="A38" s="71" t="str">
        <f>C28</f>
        <v>Sunderland</v>
      </c>
      <c r="B38" s="15" t="s">
        <v>4</v>
      </c>
      <c r="C38" s="74" t="str">
        <f>A27</f>
        <v>Chelsea</v>
      </c>
      <c r="D38" s="16"/>
      <c r="E38" s="57">
        <v>1</v>
      </c>
      <c r="F38" s="17" t="s">
        <v>4</v>
      </c>
      <c r="G38" s="60">
        <v>2</v>
      </c>
      <c r="H38" s="18">
        <f t="shared" si="6"/>
        <v>2</v>
      </c>
      <c r="I38" s="41"/>
      <c r="K38" s="7">
        <f t="shared" si="1"/>
        <v>0</v>
      </c>
      <c r="L38" s="7">
        <f t="shared" si="2"/>
        <v>0</v>
      </c>
      <c r="M38" s="7">
        <f t="shared" si="3"/>
        <v>1</v>
      </c>
    </row>
    <row r="39" spans="1:13">
      <c r="A39" s="71" t="str">
        <f>C24</f>
        <v>Wolverhampton</v>
      </c>
      <c r="B39" s="15" t="s">
        <v>4</v>
      </c>
      <c r="C39" s="74" t="str">
        <f>A31</f>
        <v>Tottenham</v>
      </c>
      <c r="D39" s="16"/>
      <c r="E39" s="57">
        <v>0</v>
      </c>
      <c r="F39" s="17" t="s">
        <v>4</v>
      </c>
      <c r="G39" s="60">
        <v>2</v>
      </c>
      <c r="H39" s="18">
        <f t="shared" si="6"/>
        <v>2</v>
      </c>
      <c r="I39" s="41"/>
      <c r="K39" s="7">
        <f t="shared" si="1"/>
        <v>0</v>
      </c>
      <c r="L39" s="7">
        <f t="shared" si="2"/>
        <v>0</v>
      </c>
      <c r="M39" s="7">
        <f t="shared" si="3"/>
        <v>1</v>
      </c>
    </row>
    <row r="40" spans="1:13">
      <c r="A40" s="71" t="str">
        <f>C29</f>
        <v>Bolton</v>
      </c>
      <c r="B40" s="15" t="s">
        <v>4</v>
      </c>
      <c r="C40" s="74" t="str">
        <f>A33</f>
        <v>Manchester United</v>
      </c>
      <c r="D40" s="16"/>
      <c r="E40" s="57">
        <v>0</v>
      </c>
      <c r="F40" s="17" t="s">
        <v>4</v>
      </c>
      <c r="G40" s="60">
        <v>5</v>
      </c>
      <c r="H40" s="18">
        <f t="shared" si="6"/>
        <v>2</v>
      </c>
      <c r="I40" s="41"/>
      <c r="K40" s="7">
        <f t="shared" si="1"/>
        <v>0</v>
      </c>
      <c r="L40" s="7">
        <f t="shared" si="2"/>
        <v>0</v>
      </c>
      <c r="M40" s="7">
        <f t="shared" si="3"/>
        <v>1</v>
      </c>
    </row>
    <row r="41" spans="1:13">
      <c r="A41" s="71" t="str">
        <f>C27</f>
        <v>Norwich City</v>
      </c>
      <c r="B41" s="15" t="s">
        <v>4</v>
      </c>
      <c r="C41" s="74" t="str">
        <f>A32</f>
        <v>WBA</v>
      </c>
      <c r="D41" s="16"/>
      <c r="E41" s="57">
        <v>0</v>
      </c>
      <c r="F41" s="17" t="s">
        <v>4</v>
      </c>
      <c r="G41" s="60">
        <v>1</v>
      </c>
      <c r="H41" s="18">
        <f t="shared" si="6"/>
        <v>2</v>
      </c>
      <c r="I41" s="41"/>
      <c r="K41" s="7">
        <f t="shared" si="1"/>
        <v>0</v>
      </c>
      <c r="L41" s="7">
        <f t="shared" si="2"/>
        <v>0</v>
      </c>
      <c r="M41" s="7">
        <f t="shared" si="3"/>
        <v>1</v>
      </c>
    </row>
    <row r="42" spans="1:13">
      <c r="A42" s="71" t="str">
        <f>C30</f>
        <v>Fulham</v>
      </c>
      <c r="B42" s="15" t="s">
        <v>4</v>
      </c>
      <c r="C42" s="74" t="str">
        <f>A26</f>
        <v>Blackburn</v>
      </c>
      <c r="D42" s="16"/>
      <c r="E42" s="57">
        <v>1</v>
      </c>
      <c r="F42" s="17" t="s">
        <v>4</v>
      </c>
      <c r="G42" s="60">
        <v>1</v>
      </c>
      <c r="H42" s="18" t="str">
        <f t="shared" si="6"/>
        <v>x</v>
      </c>
      <c r="I42" s="41"/>
      <c r="K42" s="7">
        <f t="shared" si="1"/>
        <v>0</v>
      </c>
      <c r="L42" s="7">
        <f t="shared" si="2"/>
        <v>1</v>
      </c>
      <c r="M42" s="7">
        <f t="shared" si="3"/>
        <v>0</v>
      </c>
    </row>
    <row r="43" spans="1:13" ht="13.5" thickBot="1">
      <c r="A43" s="72" t="str">
        <f>C25</f>
        <v>QPR</v>
      </c>
      <c r="B43" s="19" t="s">
        <v>4</v>
      </c>
      <c r="C43" s="75" t="str">
        <f>A30</f>
        <v>Newcastle</v>
      </c>
      <c r="D43" s="20"/>
      <c r="E43" s="58">
        <v>0</v>
      </c>
      <c r="F43" s="21" t="s">
        <v>4</v>
      </c>
      <c r="G43" s="61">
        <v>0</v>
      </c>
      <c r="H43" s="22" t="str">
        <f t="shared" si="6"/>
        <v>x</v>
      </c>
      <c r="I43" s="41"/>
      <c r="K43" s="7">
        <f t="shared" si="1"/>
        <v>0</v>
      </c>
      <c r="L43" s="7">
        <f t="shared" si="2"/>
        <v>1</v>
      </c>
      <c r="M43" s="7">
        <f t="shared" si="3"/>
        <v>0</v>
      </c>
    </row>
    <row r="44" spans="1:13">
      <c r="A44" s="70" t="str">
        <f>C42</f>
        <v>Blackburn</v>
      </c>
      <c r="B44" s="11" t="s">
        <v>4</v>
      </c>
      <c r="C44" s="73" t="str">
        <f>A34</f>
        <v>Arsenal</v>
      </c>
      <c r="D44" s="12"/>
      <c r="E44" s="56">
        <v>4</v>
      </c>
      <c r="F44" s="13" t="s">
        <v>4</v>
      </c>
      <c r="G44" s="59">
        <v>3</v>
      </c>
      <c r="H44" s="14">
        <f>IF(E44=""," ",IF(E44-G44&gt;0,1,IF(E44-G44&lt;0,2,"x")))</f>
        <v>1</v>
      </c>
      <c r="I44" s="41">
        <v>5</v>
      </c>
      <c r="K44" s="7">
        <f t="shared" si="1"/>
        <v>1</v>
      </c>
      <c r="L44" s="7">
        <f t="shared" si="2"/>
        <v>0</v>
      </c>
      <c r="M44" s="7">
        <f t="shared" si="3"/>
        <v>0</v>
      </c>
    </row>
    <row r="45" spans="1:13">
      <c r="A45" s="71" t="str">
        <f>C35</f>
        <v>Aston Villa</v>
      </c>
      <c r="B45" s="15" t="s">
        <v>4</v>
      </c>
      <c r="C45" s="74" t="str">
        <f>C43</f>
        <v>Newcastle</v>
      </c>
      <c r="D45" s="16"/>
      <c r="E45" s="57">
        <v>1</v>
      </c>
      <c r="F45" s="17" t="s">
        <v>4</v>
      </c>
      <c r="G45" s="60">
        <v>1</v>
      </c>
      <c r="H45" s="18" t="str">
        <f t="shared" ref="H45:H53" si="7">IF(E45=""," ",IF(E45-G45&gt;0,1,IF(E45-G45&lt;0,2,"x")))</f>
        <v>x</v>
      </c>
      <c r="I45" s="41"/>
      <c r="K45" s="7">
        <f t="shared" si="1"/>
        <v>0</v>
      </c>
      <c r="L45" s="7">
        <f t="shared" si="2"/>
        <v>1</v>
      </c>
      <c r="M45" s="7">
        <f t="shared" si="3"/>
        <v>0</v>
      </c>
    </row>
    <row r="46" spans="1:13">
      <c r="A46" s="71" t="str">
        <f>A40</f>
        <v>Bolton</v>
      </c>
      <c r="B46" s="15" t="s">
        <v>4</v>
      </c>
      <c r="C46" s="74" t="str">
        <f>A41</f>
        <v>Norwich City</v>
      </c>
      <c r="D46" s="16"/>
      <c r="E46" s="57">
        <v>1</v>
      </c>
      <c r="F46" s="17" t="s">
        <v>4</v>
      </c>
      <c r="G46" s="60">
        <v>2</v>
      </c>
      <c r="H46" s="18">
        <f t="shared" si="7"/>
        <v>2</v>
      </c>
      <c r="I46" s="41"/>
      <c r="K46" s="7">
        <f t="shared" si="1"/>
        <v>0</v>
      </c>
      <c r="L46" s="7">
        <f t="shared" si="2"/>
        <v>0</v>
      </c>
      <c r="M46" s="7">
        <f t="shared" si="3"/>
        <v>1</v>
      </c>
    </row>
    <row r="47" spans="1:13">
      <c r="A47" s="71" t="str">
        <f>A35</f>
        <v>Everton</v>
      </c>
      <c r="B47" s="15" t="s">
        <v>4</v>
      </c>
      <c r="C47" s="74" t="str">
        <f>C36</f>
        <v>Wigan</v>
      </c>
      <c r="D47" s="16"/>
      <c r="E47" s="57">
        <v>3</v>
      </c>
      <c r="F47" s="17" t="s">
        <v>4</v>
      </c>
      <c r="G47" s="60">
        <v>1</v>
      </c>
      <c r="H47" s="18">
        <f t="shared" si="7"/>
        <v>1</v>
      </c>
      <c r="I47" s="41"/>
      <c r="K47" s="7">
        <f t="shared" si="1"/>
        <v>1</v>
      </c>
      <c r="L47" s="7">
        <f t="shared" si="2"/>
        <v>0</v>
      </c>
      <c r="M47" s="7">
        <f t="shared" si="3"/>
        <v>0</v>
      </c>
    </row>
    <row r="48" spans="1:13">
      <c r="A48" s="71" t="str">
        <f>C34</f>
        <v>Swansea City</v>
      </c>
      <c r="B48" s="15" t="s">
        <v>4</v>
      </c>
      <c r="C48" s="74" t="str">
        <f>C41</f>
        <v>WBA</v>
      </c>
      <c r="D48" s="16"/>
      <c r="E48" s="57">
        <v>3</v>
      </c>
      <c r="F48" s="17" t="s">
        <v>4</v>
      </c>
      <c r="G48" s="60">
        <v>0</v>
      </c>
      <c r="H48" s="18">
        <f t="shared" si="7"/>
        <v>1</v>
      </c>
      <c r="I48" s="41"/>
      <c r="K48" s="7">
        <f t="shared" si="1"/>
        <v>1</v>
      </c>
      <c r="L48" s="7">
        <f t="shared" si="2"/>
        <v>0</v>
      </c>
      <c r="M48" s="7">
        <f t="shared" si="3"/>
        <v>0</v>
      </c>
    </row>
    <row r="49" spans="1:13">
      <c r="A49" s="71" t="str">
        <f>A39</f>
        <v>Wolverhampton</v>
      </c>
      <c r="B49" s="15" t="s">
        <v>4</v>
      </c>
      <c r="C49" s="74" t="str">
        <f>A43</f>
        <v>QPR</v>
      </c>
      <c r="D49" s="16"/>
      <c r="E49" s="57">
        <v>0</v>
      </c>
      <c r="F49" s="17" t="s">
        <v>4</v>
      </c>
      <c r="G49" s="60">
        <v>3</v>
      </c>
      <c r="H49" s="18">
        <f t="shared" si="7"/>
        <v>2</v>
      </c>
      <c r="I49" s="41"/>
      <c r="K49" s="7">
        <f t="shared" si="1"/>
        <v>0</v>
      </c>
      <c r="L49" s="7">
        <f t="shared" si="2"/>
        <v>0</v>
      </c>
      <c r="M49" s="7">
        <f t="shared" si="3"/>
        <v>1</v>
      </c>
    </row>
    <row r="50" spans="1:13">
      <c r="A50" s="71" t="str">
        <f>C39</f>
        <v>Tottenham</v>
      </c>
      <c r="B50" s="15" t="s">
        <v>4</v>
      </c>
      <c r="C50" s="74" t="str">
        <f>C37</f>
        <v>Liverpool</v>
      </c>
      <c r="D50" s="16"/>
      <c r="E50" s="57">
        <v>4</v>
      </c>
      <c r="F50" s="17" t="s">
        <v>4</v>
      </c>
      <c r="G50" s="60">
        <v>0</v>
      </c>
      <c r="H50" s="18">
        <f t="shared" si="7"/>
        <v>1</v>
      </c>
      <c r="I50" s="41"/>
      <c r="K50" s="7">
        <f t="shared" si="1"/>
        <v>1</v>
      </c>
      <c r="L50" s="7">
        <f t="shared" si="2"/>
        <v>0</v>
      </c>
      <c r="M50" s="7">
        <f t="shared" si="3"/>
        <v>0</v>
      </c>
    </row>
    <row r="51" spans="1:13">
      <c r="A51" s="71" t="str">
        <f>A42</f>
        <v>Fulham</v>
      </c>
      <c r="B51" s="15" t="s">
        <v>4</v>
      </c>
      <c r="C51" s="74" t="str">
        <f>A36</f>
        <v>Manchester City</v>
      </c>
      <c r="D51" s="16"/>
      <c r="E51" s="57">
        <v>2</v>
      </c>
      <c r="F51" s="17" t="s">
        <v>4</v>
      </c>
      <c r="G51" s="60">
        <v>2</v>
      </c>
      <c r="H51" s="18" t="str">
        <f t="shared" si="7"/>
        <v>x</v>
      </c>
      <c r="I51" s="41"/>
      <c r="K51" s="7">
        <f t="shared" si="1"/>
        <v>0</v>
      </c>
      <c r="L51" s="7">
        <f t="shared" si="2"/>
        <v>1</v>
      </c>
      <c r="M51" s="7">
        <f t="shared" si="3"/>
        <v>0</v>
      </c>
    </row>
    <row r="52" spans="1:13">
      <c r="A52" s="71" t="str">
        <f>A38</f>
        <v>Sunderland</v>
      </c>
      <c r="B52" s="15" t="s">
        <v>4</v>
      </c>
      <c r="C52" s="74" t="str">
        <f>A37</f>
        <v>Stoke</v>
      </c>
      <c r="D52" s="16"/>
      <c r="E52" s="57">
        <v>4</v>
      </c>
      <c r="F52" s="17" t="s">
        <v>4</v>
      </c>
      <c r="G52" s="60">
        <v>0</v>
      </c>
      <c r="H52" s="18">
        <f t="shared" si="7"/>
        <v>1</v>
      </c>
      <c r="I52" s="41"/>
      <c r="K52" s="7">
        <f t="shared" si="1"/>
        <v>1</v>
      </c>
      <c r="L52" s="7">
        <f t="shared" si="2"/>
        <v>0</v>
      </c>
      <c r="M52" s="7">
        <f t="shared" si="3"/>
        <v>0</v>
      </c>
    </row>
    <row r="53" spans="1:13" ht="13.5" thickBot="1">
      <c r="A53" s="72" t="str">
        <f>C40</f>
        <v>Manchester United</v>
      </c>
      <c r="B53" s="19" t="s">
        <v>4</v>
      </c>
      <c r="C53" s="75" t="str">
        <f>C38</f>
        <v>Chelsea</v>
      </c>
      <c r="D53" s="20"/>
      <c r="E53" s="58">
        <v>3</v>
      </c>
      <c r="F53" s="21" t="s">
        <v>4</v>
      </c>
      <c r="G53" s="61">
        <v>1</v>
      </c>
      <c r="H53" s="22">
        <f t="shared" si="7"/>
        <v>1</v>
      </c>
      <c r="I53" s="41"/>
      <c r="K53" s="7">
        <f t="shared" si="1"/>
        <v>1</v>
      </c>
      <c r="L53" s="7">
        <f t="shared" si="2"/>
        <v>0</v>
      </c>
      <c r="M53" s="7">
        <f t="shared" si="3"/>
        <v>0</v>
      </c>
    </row>
    <row r="54" spans="1:13">
      <c r="A54" s="70" t="str">
        <f>C51</f>
        <v>Manchester City</v>
      </c>
      <c r="B54" s="11" t="s">
        <v>4</v>
      </c>
      <c r="C54" s="73" t="str">
        <f>A47</f>
        <v>Everton</v>
      </c>
      <c r="D54" s="12"/>
      <c r="E54" s="56">
        <v>2</v>
      </c>
      <c r="F54" s="13" t="s">
        <v>4</v>
      </c>
      <c r="G54" s="59">
        <v>0</v>
      </c>
      <c r="H54" s="14">
        <f>IF(E54=""," ",IF(E54-G54&gt;0,1,IF(E54-G54&lt;0,2,"x")))</f>
        <v>1</v>
      </c>
      <c r="I54" s="41">
        <v>6</v>
      </c>
      <c r="K54" s="7">
        <f t="shared" si="1"/>
        <v>1</v>
      </c>
      <c r="L54" s="7">
        <f t="shared" si="2"/>
        <v>0</v>
      </c>
      <c r="M54" s="7">
        <f t="shared" si="3"/>
        <v>0</v>
      </c>
    </row>
    <row r="55" spans="1:13">
      <c r="A55" s="71" t="str">
        <f>C44</f>
        <v>Arsenal</v>
      </c>
      <c r="B55" s="15" t="s">
        <v>4</v>
      </c>
      <c r="C55" s="74" t="str">
        <f>A46</f>
        <v>Bolton</v>
      </c>
      <c r="D55" s="16"/>
      <c r="E55" s="57">
        <v>3</v>
      </c>
      <c r="F55" s="17" t="s">
        <v>4</v>
      </c>
      <c r="G55" s="60">
        <v>0</v>
      </c>
      <c r="H55" s="18">
        <f t="shared" ref="H55:H63" si="8">IF(E55=""," ",IF(E55-G55&gt;0,1,IF(E55-G55&lt;0,2,"x")))</f>
        <v>1</v>
      </c>
      <c r="I55" s="41"/>
      <c r="K55" s="7">
        <f t="shared" si="1"/>
        <v>1</v>
      </c>
      <c r="L55" s="7">
        <f t="shared" si="2"/>
        <v>0</v>
      </c>
      <c r="M55" s="7">
        <f t="shared" si="3"/>
        <v>0</v>
      </c>
    </row>
    <row r="56" spans="1:13">
      <c r="A56" s="71" t="str">
        <f>C53</f>
        <v>Chelsea</v>
      </c>
      <c r="B56" s="15" t="s">
        <v>4</v>
      </c>
      <c r="C56" s="74" t="str">
        <f>A48</f>
        <v>Swansea City</v>
      </c>
      <c r="D56" s="16"/>
      <c r="E56" s="57">
        <v>4</v>
      </c>
      <c r="F56" s="17" t="s">
        <v>4</v>
      </c>
      <c r="G56" s="60">
        <v>1</v>
      </c>
      <c r="H56" s="18">
        <f t="shared" si="8"/>
        <v>1</v>
      </c>
      <c r="I56" s="41"/>
      <c r="K56" s="7">
        <f t="shared" si="1"/>
        <v>1</v>
      </c>
      <c r="L56" s="7">
        <f t="shared" si="2"/>
        <v>0</v>
      </c>
      <c r="M56" s="7">
        <f t="shared" si="3"/>
        <v>0</v>
      </c>
    </row>
    <row r="57" spans="1:13">
      <c r="A57" s="71" t="str">
        <f>C50</f>
        <v>Liverpool</v>
      </c>
      <c r="B57" s="15" t="s">
        <v>4</v>
      </c>
      <c r="C57" s="74" t="str">
        <f>A49</f>
        <v>Wolverhampton</v>
      </c>
      <c r="D57" s="16"/>
      <c r="E57" s="57">
        <v>2</v>
      </c>
      <c r="F57" s="17" t="s">
        <v>4</v>
      </c>
      <c r="G57" s="60">
        <v>1</v>
      </c>
      <c r="H57" s="18">
        <f t="shared" si="8"/>
        <v>1</v>
      </c>
      <c r="I57" s="41"/>
      <c r="K57" s="7">
        <f t="shared" si="1"/>
        <v>1</v>
      </c>
      <c r="L57" s="7">
        <f t="shared" si="2"/>
        <v>0</v>
      </c>
      <c r="M57" s="7">
        <f t="shared" si="3"/>
        <v>0</v>
      </c>
    </row>
    <row r="58" spans="1:13">
      <c r="A58" s="71" t="str">
        <f>C45</f>
        <v>Newcastle</v>
      </c>
      <c r="B58" s="15" t="s">
        <v>4</v>
      </c>
      <c r="C58" s="74" t="str">
        <f>A44</f>
        <v>Blackburn</v>
      </c>
      <c r="D58" s="16"/>
      <c r="E58" s="57">
        <v>3</v>
      </c>
      <c r="F58" s="17" t="s">
        <v>4</v>
      </c>
      <c r="G58" s="60">
        <v>1</v>
      </c>
      <c r="H58" s="18">
        <f t="shared" si="8"/>
        <v>1</v>
      </c>
      <c r="I58" s="41"/>
      <c r="K58" s="7">
        <f t="shared" si="1"/>
        <v>1</v>
      </c>
      <c r="L58" s="7">
        <f t="shared" si="2"/>
        <v>0</v>
      </c>
      <c r="M58" s="7">
        <f t="shared" si="3"/>
        <v>0</v>
      </c>
    </row>
    <row r="59" spans="1:13">
      <c r="A59" s="71" t="str">
        <f>C48</f>
        <v>WBA</v>
      </c>
      <c r="B59" s="15" t="s">
        <v>4</v>
      </c>
      <c r="C59" s="74" t="str">
        <f>A51</f>
        <v>Fulham</v>
      </c>
      <c r="D59" s="16"/>
      <c r="E59" s="57">
        <v>0</v>
      </c>
      <c r="F59" s="17" t="s">
        <v>4</v>
      </c>
      <c r="G59" s="60">
        <v>0</v>
      </c>
      <c r="H59" s="18" t="str">
        <f t="shared" si="8"/>
        <v>x</v>
      </c>
      <c r="I59" s="41"/>
      <c r="K59" s="7">
        <f t="shared" si="1"/>
        <v>0</v>
      </c>
      <c r="L59" s="7">
        <f t="shared" si="2"/>
        <v>1</v>
      </c>
      <c r="M59" s="7">
        <f t="shared" si="3"/>
        <v>0</v>
      </c>
    </row>
    <row r="60" spans="1:13">
      <c r="A60" s="71" t="str">
        <f>C47</f>
        <v>Wigan</v>
      </c>
      <c r="B60" s="15" t="s">
        <v>4</v>
      </c>
      <c r="C60" s="74" t="str">
        <f>A50</f>
        <v>Tottenham</v>
      </c>
      <c r="D60" s="16"/>
      <c r="E60" s="57">
        <v>1</v>
      </c>
      <c r="F60" s="17" t="s">
        <v>4</v>
      </c>
      <c r="G60" s="60">
        <v>2</v>
      </c>
      <c r="H60" s="18">
        <f t="shared" si="8"/>
        <v>2</v>
      </c>
      <c r="I60" s="41"/>
      <c r="K60" s="7">
        <f t="shared" si="1"/>
        <v>0</v>
      </c>
      <c r="L60" s="7">
        <f t="shared" si="2"/>
        <v>0</v>
      </c>
      <c r="M60" s="7">
        <f t="shared" si="3"/>
        <v>1</v>
      </c>
    </row>
    <row r="61" spans="1:13">
      <c r="A61" s="71" t="str">
        <f>C52</f>
        <v>Stoke</v>
      </c>
      <c r="B61" s="15" t="s">
        <v>4</v>
      </c>
      <c r="C61" s="74" t="str">
        <f>A53</f>
        <v>Manchester United</v>
      </c>
      <c r="D61" s="16"/>
      <c r="E61" s="57">
        <v>1</v>
      </c>
      <c r="F61" s="17" t="s">
        <v>4</v>
      </c>
      <c r="G61" s="60">
        <v>1</v>
      </c>
      <c r="H61" s="18" t="str">
        <f t="shared" si="8"/>
        <v>x</v>
      </c>
      <c r="I61" s="41"/>
      <c r="K61" s="7">
        <f t="shared" si="1"/>
        <v>0</v>
      </c>
      <c r="L61" s="7">
        <f t="shared" si="2"/>
        <v>1</v>
      </c>
      <c r="M61" s="7">
        <f t="shared" si="3"/>
        <v>0</v>
      </c>
    </row>
    <row r="62" spans="1:13">
      <c r="A62" s="71" t="str">
        <f>C49</f>
        <v>QPR</v>
      </c>
      <c r="B62" s="15" t="s">
        <v>4</v>
      </c>
      <c r="C62" s="74" t="str">
        <f>A45</f>
        <v>Aston Villa</v>
      </c>
      <c r="D62" s="16"/>
      <c r="E62" s="57">
        <v>1</v>
      </c>
      <c r="F62" s="17" t="s">
        <v>4</v>
      </c>
      <c r="G62" s="60">
        <v>1</v>
      </c>
      <c r="H62" s="18" t="str">
        <f t="shared" si="8"/>
        <v>x</v>
      </c>
      <c r="I62" s="41"/>
      <c r="K62" s="7">
        <f t="shared" si="1"/>
        <v>0</v>
      </c>
      <c r="L62" s="7">
        <f t="shared" si="2"/>
        <v>1</v>
      </c>
      <c r="M62" s="7">
        <f t="shared" si="3"/>
        <v>0</v>
      </c>
    </row>
    <row r="63" spans="1:13" ht="13.5" thickBot="1">
      <c r="A63" s="72" t="str">
        <f>C46</f>
        <v>Norwich City</v>
      </c>
      <c r="B63" s="19" t="s">
        <v>4</v>
      </c>
      <c r="C63" s="75" t="str">
        <f>A52</f>
        <v>Sunderland</v>
      </c>
      <c r="D63" s="20"/>
      <c r="E63" s="58">
        <v>2</v>
      </c>
      <c r="F63" s="21" t="s">
        <v>4</v>
      </c>
      <c r="G63" s="61">
        <v>1</v>
      </c>
      <c r="H63" s="22">
        <f t="shared" si="8"/>
        <v>1</v>
      </c>
      <c r="I63" s="41"/>
      <c r="K63" s="7">
        <f t="shared" si="1"/>
        <v>1</v>
      </c>
      <c r="L63" s="7">
        <f t="shared" si="2"/>
        <v>0</v>
      </c>
      <c r="M63" s="7">
        <f t="shared" si="3"/>
        <v>0</v>
      </c>
    </row>
    <row r="64" spans="1:13">
      <c r="A64" s="70" t="str">
        <f>C54</f>
        <v>Everton</v>
      </c>
      <c r="B64" s="11" t="s">
        <v>4</v>
      </c>
      <c r="C64" s="73" t="str">
        <f>A57</f>
        <v>Liverpool</v>
      </c>
      <c r="D64" s="12"/>
      <c r="E64" s="56">
        <v>0</v>
      </c>
      <c r="F64" s="13" t="s">
        <v>4</v>
      </c>
      <c r="G64" s="59">
        <v>2</v>
      </c>
      <c r="H64" s="14">
        <f>IF(E64=""," ",IF(E64-G64&gt;0,1,IF(E64-G64&lt;0,2,"x")))</f>
        <v>2</v>
      </c>
      <c r="I64" s="41">
        <v>7</v>
      </c>
      <c r="K64" s="7">
        <f t="shared" si="1"/>
        <v>0</v>
      </c>
      <c r="L64" s="7">
        <f t="shared" si="2"/>
        <v>0</v>
      </c>
      <c r="M64" s="7">
        <f t="shared" si="3"/>
        <v>1</v>
      </c>
    </row>
    <row r="65" spans="1:13">
      <c r="A65" s="71" t="str">
        <f>C62</f>
        <v>Aston Villa</v>
      </c>
      <c r="B65" s="15" t="s">
        <v>4</v>
      </c>
      <c r="C65" s="74" t="str">
        <f>A60</f>
        <v>Wigan</v>
      </c>
      <c r="D65" s="16"/>
      <c r="E65" s="57">
        <v>2</v>
      </c>
      <c r="F65" s="17" t="s">
        <v>4</v>
      </c>
      <c r="G65" s="60">
        <v>0</v>
      </c>
      <c r="H65" s="18">
        <f t="shared" ref="H65:H73" si="9">IF(E65=""," ",IF(E65-G65&gt;0,1,IF(E65-G65&lt;0,2,"x")))</f>
        <v>1</v>
      </c>
      <c r="I65" s="41"/>
      <c r="K65" s="7">
        <f t="shared" si="1"/>
        <v>1</v>
      </c>
      <c r="L65" s="7">
        <f t="shared" si="2"/>
        <v>0</v>
      </c>
      <c r="M65" s="7">
        <f t="shared" si="3"/>
        <v>0</v>
      </c>
    </row>
    <row r="66" spans="1:13">
      <c r="A66" s="71" t="str">
        <f>C58</f>
        <v>Blackburn</v>
      </c>
      <c r="B66" s="15" t="s">
        <v>4</v>
      </c>
      <c r="C66" s="74" t="str">
        <f>A54</f>
        <v>Manchester City</v>
      </c>
      <c r="D66" s="16"/>
      <c r="E66" s="57">
        <v>0</v>
      </c>
      <c r="F66" s="17" t="s">
        <v>4</v>
      </c>
      <c r="G66" s="60">
        <v>4</v>
      </c>
      <c r="H66" s="18">
        <f t="shared" si="9"/>
        <v>2</v>
      </c>
      <c r="I66" s="41"/>
      <c r="K66" s="7">
        <f t="shared" si="1"/>
        <v>0</v>
      </c>
      <c r="L66" s="7">
        <f t="shared" si="2"/>
        <v>0</v>
      </c>
      <c r="M66" s="7">
        <f t="shared" si="3"/>
        <v>1</v>
      </c>
    </row>
    <row r="67" spans="1:13">
      <c r="A67" s="71" t="str">
        <f>C61</f>
        <v>Manchester United</v>
      </c>
      <c r="B67" s="15" t="s">
        <v>4</v>
      </c>
      <c r="C67" s="74" t="str">
        <f>A63</f>
        <v>Norwich City</v>
      </c>
      <c r="D67" s="16"/>
      <c r="E67" s="57">
        <v>2</v>
      </c>
      <c r="F67" s="17" t="s">
        <v>4</v>
      </c>
      <c r="G67" s="60">
        <v>0</v>
      </c>
      <c r="H67" s="18">
        <f t="shared" si="9"/>
        <v>1</v>
      </c>
      <c r="I67" s="41"/>
      <c r="K67" s="7">
        <f t="shared" si="1"/>
        <v>1</v>
      </c>
      <c r="L67" s="7">
        <f t="shared" si="2"/>
        <v>0</v>
      </c>
      <c r="M67" s="7">
        <f t="shared" si="3"/>
        <v>0</v>
      </c>
    </row>
    <row r="68" spans="1:13">
      <c r="A68" s="71" t="str">
        <f>C63</f>
        <v>Sunderland</v>
      </c>
      <c r="B68" s="15" t="s">
        <v>4</v>
      </c>
      <c r="C68" s="74" t="str">
        <f>A59</f>
        <v>WBA</v>
      </c>
      <c r="D68" s="16"/>
      <c r="E68" s="57">
        <v>2</v>
      </c>
      <c r="F68" s="17" t="s">
        <v>4</v>
      </c>
      <c r="G68" s="60">
        <v>2</v>
      </c>
      <c r="H68" s="18" t="str">
        <f t="shared" si="9"/>
        <v>x</v>
      </c>
      <c r="I68" s="41"/>
      <c r="K68" s="7">
        <f t="shared" si="1"/>
        <v>0</v>
      </c>
      <c r="L68" s="7">
        <f t="shared" si="2"/>
        <v>1</v>
      </c>
      <c r="M68" s="7">
        <f t="shared" si="3"/>
        <v>0</v>
      </c>
    </row>
    <row r="69" spans="1:13">
      <c r="A69" s="71" t="str">
        <f>C57</f>
        <v>Wolverhampton</v>
      </c>
      <c r="B69" s="15" t="s">
        <v>4</v>
      </c>
      <c r="C69" s="74" t="str">
        <f>A58</f>
        <v>Newcastle</v>
      </c>
      <c r="D69" s="16"/>
      <c r="E69" s="57">
        <v>1</v>
      </c>
      <c r="F69" s="17" t="s">
        <v>4</v>
      </c>
      <c r="G69" s="60">
        <v>2</v>
      </c>
      <c r="H69" s="18">
        <f t="shared" si="9"/>
        <v>2</v>
      </c>
      <c r="I69" s="41"/>
      <c r="K69" s="7">
        <f t="shared" ref="K69:K132" si="10">IF(E69=""," ",IF(E69-G69&gt;0,1,0))</f>
        <v>0</v>
      </c>
      <c r="L69" s="7">
        <f t="shared" ref="L69:L132" si="11">IF(E69=""," ",IF(E69-G69=0,1,0))</f>
        <v>0</v>
      </c>
      <c r="M69" s="7">
        <f t="shared" ref="M69:M132" si="12">IF(E69=""," ",IF(E69-G69&lt;0,1,0))</f>
        <v>1</v>
      </c>
    </row>
    <row r="70" spans="1:13">
      <c r="A70" s="71" t="str">
        <f>C55</f>
        <v>Bolton</v>
      </c>
      <c r="B70" s="15" t="s">
        <v>4</v>
      </c>
      <c r="C70" s="74" t="str">
        <f>A56</f>
        <v>Chelsea</v>
      </c>
      <c r="D70" s="16"/>
      <c r="E70" s="57">
        <v>1</v>
      </c>
      <c r="F70" s="17" t="s">
        <v>4</v>
      </c>
      <c r="G70" s="60">
        <v>5</v>
      </c>
      <c r="H70" s="18">
        <f t="shared" si="9"/>
        <v>2</v>
      </c>
      <c r="I70" s="41"/>
      <c r="K70" s="7">
        <f t="shared" si="10"/>
        <v>0</v>
      </c>
      <c r="L70" s="7">
        <f t="shared" si="11"/>
        <v>0</v>
      </c>
      <c r="M70" s="7">
        <f t="shared" si="12"/>
        <v>1</v>
      </c>
    </row>
    <row r="71" spans="1:13">
      <c r="A71" s="71" t="str">
        <f>C59</f>
        <v>Fulham</v>
      </c>
      <c r="B71" s="15" t="s">
        <v>4</v>
      </c>
      <c r="C71" s="74" t="str">
        <f>A62</f>
        <v>QPR</v>
      </c>
      <c r="D71" s="16"/>
      <c r="E71" s="57">
        <v>6</v>
      </c>
      <c r="F71" s="17" t="s">
        <v>4</v>
      </c>
      <c r="G71" s="60">
        <v>0</v>
      </c>
      <c r="H71" s="18">
        <f t="shared" si="9"/>
        <v>1</v>
      </c>
      <c r="I71" s="41"/>
      <c r="K71" s="7">
        <f t="shared" si="10"/>
        <v>1</v>
      </c>
      <c r="L71" s="7">
        <f t="shared" si="11"/>
        <v>0</v>
      </c>
      <c r="M71" s="7">
        <f t="shared" si="12"/>
        <v>0</v>
      </c>
    </row>
    <row r="72" spans="1:13">
      <c r="A72" s="71" t="str">
        <f>C56</f>
        <v>Swansea City</v>
      </c>
      <c r="B72" s="15" t="s">
        <v>4</v>
      </c>
      <c r="C72" s="74" t="str">
        <f>A61</f>
        <v>Stoke</v>
      </c>
      <c r="D72" s="16"/>
      <c r="E72" s="57">
        <v>2</v>
      </c>
      <c r="F72" s="17" t="s">
        <v>4</v>
      </c>
      <c r="G72" s="60">
        <v>0</v>
      </c>
      <c r="H72" s="18">
        <f t="shared" si="9"/>
        <v>1</v>
      </c>
      <c r="I72" s="41"/>
      <c r="K72" s="7">
        <f t="shared" si="10"/>
        <v>1</v>
      </c>
      <c r="L72" s="7">
        <f t="shared" si="11"/>
        <v>0</v>
      </c>
      <c r="M72" s="7">
        <f t="shared" si="12"/>
        <v>0</v>
      </c>
    </row>
    <row r="73" spans="1:13" ht="13.5" thickBot="1">
      <c r="A73" s="72" t="str">
        <f>C60</f>
        <v>Tottenham</v>
      </c>
      <c r="B73" s="19" t="s">
        <v>4</v>
      </c>
      <c r="C73" s="75" t="str">
        <f>A55</f>
        <v>Arsenal</v>
      </c>
      <c r="D73" s="20"/>
      <c r="E73" s="58">
        <v>2</v>
      </c>
      <c r="F73" s="21" t="s">
        <v>4</v>
      </c>
      <c r="G73" s="61">
        <v>1</v>
      </c>
      <c r="H73" s="22">
        <f t="shared" si="9"/>
        <v>1</v>
      </c>
      <c r="I73" s="41"/>
      <c r="K73" s="7">
        <f t="shared" si="10"/>
        <v>1</v>
      </c>
      <c r="L73" s="7">
        <f t="shared" si="11"/>
        <v>0</v>
      </c>
      <c r="M73" s="7">
        <f t="shared" si="12"/>
        <v>0</v>
      </c>
    </row>
    <row r="74" spans="1:13">
      <c r="A74" s="70" t="str">
        <f>C64</f>
        <v>Liverpool</v>
      </c>
      <c r="B74" s="11" t="s">
        <v>4</v>
      </c>
      <c r="C74" s="73" t="str">
        <f>A67</f>
        <v>Manchester United</v>
      </c>
      <c r="D74" s="12"/>
      <c r="E74" s="56">
        <v>1</v>
      </c>
      <c r="F74" s="13" t="s">
        <v>4</v>
      </c>
      <c r="G74" s="59">
        <v>1</v>
      </c>
      <c r="H74" s="14" t="str">
        <f>IF(E74=""," ",IF(E74-G74&gt;0,1,IF(E74-G74&lt;0,2,"x")))</f>
        <v>x</v>
      </c>
      <c r="I74" s="41">
        <v>8</v>
      </c>
      <c r="K74" s="7">
        <f t="shared" si="10"/>
        <v>0</v>
      </c>
      <c r="L74" s="7">
        <f t="shared" si="11"/>
        <v>1</v>
      </c>
      <c r="M74" s="7">
        <f t="shared" si="12"/>
        <v>0</v>
      </c>
    </row>
    <row r="75" spans="1:13">
      <c r="A75" s="71" t="str">
        <f>C66</f>
        <v>Manchester City</v>
      </c>
      <c r="B75" s="15" t="s">
        <v>4</v>
      </c>
      <c r="C75" s="74" t="str">
        <f>A65</f>
        <v>Aston Villa</v>
      </c>
      <c r="D75" s="16"/>
      <c r="E75" s="57">
        <v>4</v>
      </c>
      <c r="F75" s="17" t="s">
        <v>4</v>
      </c>
      <c r="G75" s="60">
        <v>1</v>
      </c>
      <c r="H75" s="18">
        <f t="shared" ref="H75:H83" si="13">IF(E75=""," ",IF(E75-G75&gt;0,1,IF(E75-G75&lt;0,2,"x")))</f>
        <v>1</v>
      </c>
      <c r="I75" s="41"/>
      <c r="K75" s="7">
        <f t="shared" si="10"/>
        <v>1</v>
      </c>
      <c r="L75" s="7">
        <f t="shared" si="11"/>
        <v>0</v>
      </c>
      <c r="M75" s="7">
        <f t="shared" si="12"/>
        <v>0</v>
      </c>
    </row>
    <row r="76" spans="1:13">
      <c r="A76" s="71" t="str">
        <f>C67</f>
        <v>Norwich City</v>
      </c>
      <c r="B76" s="15" t="s">
        <v>4</v>
      </c>
      <c r="C76" s="74" t="str">
        <f>A72</f>
        <v>Swansea City</v>
      </c>
      <c r="D76" s="16"/>
      <c r="E76" s="57">
        <v>3</v>
      </c>
      <c r="F76" s="17" t="s">
        <v>4</v>
      </c>
      <c r="G76" s="60">
        <v>1</v>
      </c>
      <c r="H76" s="18">
        <f t="shared" si="13"/>
        <v>1</v>
      </c>
      <c r="I76" s="41"/>
      <c r="K76" s="7">
        <f t="shared" si="10"/>
        <v>1</v>
      </c>
      <c r="L76" s="7">
        <f t="shared" si="11"/>
        <v>0</v>
      </c>
      <c r="M76" s="7">
        <f t="shared" si="12"/>
        <v>0</v>
      </c>
    </row>
    <row r="77" spans="1:13">
      <c r="A77" s="71" t="str">
        <f>C71</f>
        <v>QPR</v>
      </c>
      <c r="B77" s="15" t="s">
        <v>4</v>
      </c>
      <c r="C77" s="74" t="str">
        <f>A66</f>
        <v>Blackburn</v>
      </c>
      <c r="D77" s="16"/>
      <c r="E77" s="57">
        <v>1</v>
      </c>
      <c r="F77" s="17" t="s">
        <v>4</v>
      </c>
      <c r="G77" s="60">
        <v>1</v>
      </c>
      <c r="H77" s="18" t="str">
        <f t="shared" si="13"/>
        <v>x</v>
      </c>
      <c r="I77" s="41"/>
      <c r="K77" s="7">
        <f t="shared" si="10"/>
        <v>0</v>
      </c>
      <c r="L77" s="7">
        <f t="shared" si="11"/>
        <v>1</v>
      </c>
      <c r="M77" s="7">
        <f t="shared" si="12"/>
        <v>0</v>
      </c>
    </row>
    <row r="78" spans="1:13">
      <c r="A78" s="71" t="str">
        <f>C72</f>
        <v>Stoke</v>
      </c>
      <c r="B78" s="15" t="s">
        <v>4</v>
      </c>
      <c r="C78" s="74" t="str">
        <f>A71</f>
        <v>Fulham</v>
      </c>
      <c r="D78" s="16"/>
      <c r="E78" s="57">
        <v>2</v>
      </c>
      <c r="F78" s="17" t="s">
        <v>4</v>
      </c>
      <c r="G78" s="60">
        <v>0</v>
      </c>
      <c r="H78" s="18">
        <f t="shared" si="13"/>
        <v>1</v>
      </c>
      <c r="I78" s="41"/>
      <c r="K78" s="7">
        <f t="shared" si="10"/>
        <v>1</v>
      </c>
      <c r="L78" s="7">
        <f t="shared" si="11"/>
        <v>0</v>
      </c>
      <c r="M78" s="7">
        <f t="shared" si="12"/>
        <v>0</v>
      </c>
    </row>
    <row r="79" spans="1:13">
      <c r="A79" s="71" t="str">
        <f>C65</f>
        <v>Wigan</v>
      </c>
      <c r="B79" s="15" t="s">
        <v>4</v>
      </c>
      <c r="C79" s="74" t="str">
        <f>A70</f>
        <v>Bolton</v>
      </c>
      <c r="D79" s="16"/>
      <c r="E79" s="57">
        <v>1</v>
      </c>
      <c r="F79" s="17" t="s">
        <v>4</v>
      </c>
      <c r="G79" s="60">
        <v>3</v>
      </c>
      <c r="H79" s="18">
        <f t="shared" si="13"/>
        <v>2</v>
      </c>
      <c r="I79" s="41"/>
      <c r="K79" s="7">
        <f t="shared" si="10"/>
        <v>0</v>
      </c>
      <c r="L79" s="7">
        <f t="shared" si="11"/>
        <v>0</v>
      </c>
      <c r="M79" s="7">
        <f t="shared" si="12"/>
        <v>1</v>
      </c>
    </row>
    <row r="80" spans="1:13">
      <c r="A80" s="71" t="str">
        <f>C70</f>
        <v>Chelsea</v>
      </c>
      <c r="B80" s="15" t="s">
        <v>4</v>
      </c>
      <c r="C80" s="74" t="str">
        <f>A64</f>
        <v>Everton</v>
      </c>
      <c r="D80" s="16"/>
      <c r="E80" s="57">
        <v>3</v>
      </c>
      <c r="F80" s="17" t="s">
        <v>4</v>
      </c>
      <c r="G80" s="60">
        <v>1</v>
      </c>
      <c r="H80" s="18">
        <f t="shared" si="13"/>
        <v>1</v>
      </c>
      <c r="I80" s="41"/>
      <c r="K80" s="7">
        <f t="shared" si="10"/>
        <v>1</v>
      </c>
      <c r="L80" s="7">
        <f t="shared" si="11"/>
        <v>0</v>
      </c>
      <c r="M80" s="7">
        <f t="shared" si="12"/>
        <v>0</v>
      </c>
    </row>
    <row r="81" spans="1:13">
      <c r="A81" s="71" t="str">
        <f>C68</f>
        <v>WBA</v>
      </c>
      <c r="B81" s="15" t="s">
        <v>4</v>
      </c>
      <c r="C81" s="74" t="str">
        <f>A69</f>
        <v>Wolverhampton</v>
      </c>
      <c r="D81" s="16"/>
      <c r="E81" s="57">
        <v>2</v>
      </c>
      <c r="F81" s="17" t="s">
        <v>4</v>
      </c>
      <c r="G81" s="60">
        <v>0</v>
      </c>
      <c r="H81" s="18">
        <f t="shared" si="13"/>
        <v>1</v>
      </c>
      <c r="I81" s="41"/>
      <c r="K81" s="7">
        <f t="shared" si="10"/>
        <v>1</v>
      </c>
      <c r="L81" s="7">
        <f t="shared" si="11"/>
        <v>0</v>
      </c>
      <c r="M81" s="7">
        <f t="shared" si="12"/>
        <v>0</v>
      </c>
    </row>
    <row r="82" spans="1:13">
      <c r="A82" s="71" t="str">
        <f>C73</f>
        <v>Arsenal</v>
      </c>
      <c r="B82" s="15" t="s">
        <v>4</v>
      </c>
      <c r="C82" s="74" t="str">
        <f>A68</f>
        <v>Sunderland</v>
      </c>
      <c r="D82" s="16"/>
      <c r="E82" s="57">
        <v>2</v>
      </c>
      <c r="F82" s="17" t="s">
        <v>4</v>
      </c>
      <c r="G82" s="60">
        <v>1</v>
      </c>
      <c r="H82" s="18">
        <f t="shared" si="13"/>
        <v>1</v>
      </c>
      <c r="I82" s="41"/>
      <c r="K82" s="7">
        <f t="shared" si="10"/>
        <v>1</v>
      </c>
      <c r="L82" s="7">
        <f t="shared" si="11"/>
        <v>0</v>
      </c>
      <c r="M82" s="7">
        <f t="shared" si="12"/>
        <v>0</v>
      </c>
    </row>
    <row r="83" spans="1:13" ht="13.5" thickBot="1">
      <c r="A83" s="72" t="str">
        <f>C69</f>
        <v>Newcastle</v>
      </c>
      <c r="B83" s="19" t="s">
        <v>4</v>
      </c>
      <c r="C83" s="75" t="str">
        <f>A73</f>
        <v>Tottenham</v>
      </c>
      <c r="D83" s="20"/>
      <c r="E83" s="58">
        <v>2</v>
      </c>
      <c r="F83" s="21" t="s">
        <v>4</v>
      </c>
      <c r="G83" s="61">
        <v>2</v>
      </c>
      <c r="H83" s="22" t="str">
        <f t="shared" si="13"/>
        <v>x</v>
      </c>
      <c r="I83" s="41"/>
      <c r="K83" s="7">
        <f t="shared" si="10"/>
        <v>0</v>
      </c>
      <c r="L83" s="7">
        <f t="shared" si="11"/>
        <v>1</v>
      </c>
      <c r="M83" s="7">
        <f t="shared" si="12"/>
        <v>0</v>
      </c>
    </row>
    <row r="84" spans="1:13">
      <c r="A84" s="70" t="str">
        <f>C81</f>
        <v>Wolverhampton</v>
      </c>
      <c r="B84" s="11" t="s">
        <v>4</v>
      </c>
      <c r="C84" s="73" t="str">
        <f>C76</f>
        <v>Swansea City</v>
      </c>
      <c r="D84" s="12"/>
      <c r="E84" s="56">
        <v>2</v>
      </c>
      <c r="F84" s="13" t="s">
        <v>4</v>
      </c>
      <c r="G84" s="59">
        <v>2</v>
      </c>
      <c r="H84" s="14" t="str">
        <f>IF(E84=""," ",IF(E84-G84&gt;0,1,IF(E84-G84&lt;0,2,"x")))</f>
        <v>x</v>
      </c>
      <c r="I84" s="41">
        <v>9</v>
      </c>
      <c r="K84" s="7">
        <f t="shared" si="10"/>
        <v>0</v>
      </c>
      <c r="L84" s="7">
        <f t="shared" si="11"/>
        <v>1</v>
      </c>
      <c r="M84" s="7">
        <f t="shared" si="12"/>
        <v>0</v>
      </c>
    </row>
    <row r="85" spans="1:13">
      <c r="A85" s="71" t="str">
        <f>C75</f>
        <v>Aston Villa</v>
      </c>
      <c r="B85" s="15" t="s">
        <v>4</v>
      </c>
      <c r="C85" s="74" t="str">
        <f>A81</f>
        <v>WBA</v>
      </c>
      <c r="D85" s="16"/>
      <c r="E85" s="57">
        <v>1</v>
      </c>
      <c r="F85" s="17" t="s">
        <v>4</v>
      </c>
      <c r="G85" s="60">
        <v>2</v>
      </c>
      <c r="H85" s="18">
        <f t="shared" ref="H85:H93" si="14">IF(E85=""," ",IF(E85-G85&gt;0,1,IF(E85-G85&lt;0,2,"x")))</f>
        <v>2</v>
      </c>
      <c r="I85" s="41"/>
      <c r="K85" s="7">
        <f t="shared" si="10"/>
        <v>0</v>
      </c>
      <c r="L85" s="7">
        <f t="shared" si="11"/>
        <v>0</v>
      </c>
      <c r="M85" s="7">
        <f t="shared" si="12"/>
        <v>1</v>
      </c>
    </row>
    <row r="86" spans="1:13">
      <c r="A86" s="71" t="str">
        <f>C79</f>
        <v>Bolton</v>
      </c>
      <c r="B86" s="15" t="s">
        <v>4</v>
      </c>
      <c r="C86" s="74" t="str">
        <f>C82</f>
        <v>Sunderland</v>
      </c>
      <c r="D86" s="16"/>
      <c r="E86" s="57">
        <v>0</v>
      </c>
      <c r="F86" s="17" t="s">
        <v>4</v>
      </c>
      <c r="G86" s="60">
        <v>2</v>
      </c>
      <c r="H86" s="18">
        <f t="shared" si="14"/>
        <v>2</v>
      </c>
      <c r="I86" s="41"/>
      <c r="K86" s="7">
        <f t="shared" si="10"/>
        <v>0</v>
      </c>
      <c r="L86" s="7">
        <f t="shared" si="11"/>
        <v>0</v>
      </c>
      <c r="M86" s="7">
        <f t="shared" si="12"/>
        <v>1</v>
      </c>
    </row>
    <row r="87" spans="1:13">
      <c r="A87" s="71" t="str">
        <f>A83</f>
        <v>Newcastle</v>
      </c>
      <c r="B87" s="15" t="s">
        <v>4</v>
      </c>
      <c r="C87" s="74" t="str">
        <f>A79</f>
        <v>Wigan</v>
      </c>
      <c r="D87" s="16"/>
      <c r="E87" s="57">
        <v>1</v>
      </c>
      <c r="F87" s="17" t="s">
        <v>4</v>
      </c>
      <c r="G87" s="60">
        <v>0</v>
      </c>
      <c r="H87" s="18">
        <f t="shared" si="14"/>
        <v>1</v>
      </c>
      <c r="I87" s="41"/>
      <c r="K87" s="7">
        <f t="shared" si="10"/>
        <v>1</v>
      </c>
      <c r="L87" s="7">
        <f t="shared" si="11"/>
        <v>0</v>
      </c>
      <c r="M87" s="7">
        <f t="shared" si="12"/>
        <v>0</v>
      </c>
    </row>
    <row r="88" spans="1:13">
      <c r="A88" s="71" t="str">
        <f>A74</f>
        <v>Liverpool</v>
      </c>
      <c r="B88" s="15" t="s">
        <v>4</v>
      </c>
      <c r="C88" s="74" t="str">
        <f>A76</f>
        <v>Norwich City</v>
      </c>
      <c r="D88" s="16"/>
      <c r="E88" s="57">
        <v>1</v>
      </c>
      <c r="F88" s="17" t="s">
        <v>4</v>
      </c>
      <c r="G88" s="60">
        <v>1</v>
      </c>
      <c r="H88" s="18" t="str">
        <f t="shared" si="14"/>
        <v>x</v>
      </c>
      <c r="I88" s="41"/>
      <c r="K88" s="7">
        <f t="shared" si="10"/>
        <v>0</v>
      </c>
      <c r="L88" s="7">
        <f t="shared" si="11"/>
        <v>1</v>
      </c>
      <c r="M88" s="7">
        <f t="shared" si="12"/>
        <v>0</v>
      </c>
    </row>
    <row r="89" spans="1:13">
      <c r="A89" s="71" t="str">
        <f>A82</f>
        <v>Arsenal</v>
      </c>
      <c r="B89" s="15" t="s">
        <v>4</v>
      </c>
      <c r="C89" s="74" t="str">
        <f>A78</f>
        <v>Stoke</v>
      </c>
      <c r="D89" s="16"/>
      <c r="E89" s="57">
        <v>3</v>
      </c>
      <c r="F89" s="17" t="s">
        <v>4</v>
      </c>
      <c r="G89" s="60">
        <v>1</v>
      </c>
      <c r="H89" s="18">
        <f t="shared" si="14"/>
        <v>1</v>
      </c>
      <c r="I89" s="41"/>
      <c r="K89" s="7">
        <f t="shared" si="10"/>
        <v>1</v>
      </c>
      <c r="L89" s="7">
        <f t="shared" si="11"/>
        <v>0</v>
      </c>
      <c r="M89" s="7">
        <f t="shared" si="12"/>
        <v>0</v>
      </c>
    </row>
    <row r="90" spans="1:13">
      <c r="A90" s="71" t="str">
        <f>C78</f>
        <v>Fulham</v>
      </c>
      <c r="B90" s="15" t="s">
        <v>4</v>
      </c>
      <c r="C90" s="74" t="str">
        <f>C80</f>
        <v>Everton</v>
      </c>
      <c r="D90" s="16"/>
      <c r="E90" s="57">
        <v>1</v>
      </c>
      <c r="F90" s="17" t="s">
        <v>4</v>
      </c>
      <c r="G90" s="60">
        <v>3</v>
      </c>
      <c r="H90" s="18">
        <f t="shared" si="14"/>
        <v>2</v>
      </c>
      <c r="I90" s="41"/>
      <c r="K90" s="7">
        <f t="shared" si="10"/>
        <v>0</v>
      </c>
      <c r="L90" s="7">
        <f t="shared" si="11"/>
        <v>0</v>
      </c>
      <c r="M90" s="7">
        <f t="shared" si="12"/>
        <v>1</v>
      </c>
    </row>
    <row r="91" spans="1:13">
      <c r="A91" s="71" t="str">
        <f>C74</f>
        <v>Manchester United</v>
      </c>
      <c r="B91" s="15" t="s">
        <v>4</v>
      </c>
      <c r="C91" s="74" t="str">
        <f>A75</f>
        <v>Manchester City</v>
      </c>
      <c r="D91" s="16"/>
      <c r="E91" s="57">
        <v>1</v>
      </c>
      <c r="F91" s="17" t="s">
        <v>4</v>
      </c>
      <c r="G91" s="60">
        <v>6</v>
      </c>
      <c r="H91" s="18">
        <f t="shared" si="14"/>
        <v>2</v>
      </c>
      <c r="I91" s="41"/>
      <c r="K91" s="7">
        <f t="shared" si="10"/>
        <v>0</v>
      </c>
      <c r="L91" s="7">
        <f t="shared" si="11"/>
        <v>0</v>
      </c>
      <c r="M91" s="7">
        <f t="shared" si="12"/>
        <v>1</v>
      </c>
    </row>
    <row r="92" spans="1:13">
      <c r="A92" s="71" t="str">
        <f>C77</f>
        <v>Blackburn</v>
      </c>
      <c r="B92" s="15" t="s">
        <v>4</v>
      </c>
      <c r="C92" s="74" t="str">
        <f>C83</f>
        <v>Tottenham</v>
      </c>
      <c r="D92" s="16"/>
      <c r="E92" s="57">
        <v>1</v>
      </c>
      <c r="F92" s="17" t="s">
        <v>4</v>
      </c>
      <c r="G92" s="60">
        <v>2</v>
      </c>
      <c r="H92" s="18">
        <f t="shared" si="14"/>
        <v>2</v>
      </c>
      <c r="I92" s="41"/>
      <c r="K92" s="7">
        <f t="shared" si="10"/>
        <v>0</v>
      </c>
      <c r="L92" s="7">
        <f t="shared" si="11"/>
        <v>0</v>
      </c>
      <c r="M92" s="7">
        <f t="shared" si="12"/>
        <v>1</v>
      </c>
    </row>
    <row r="93" spans="1:13" ht="13.5" thickBot="1">
      <c r="A93" s="72" t="str">
        <f>A77</f>
        <v>QPR</v>
      </c>
      <c r="B93" s="19" t="s">
        <v>4</v>
      </c>
      <c r="C93" s="75" t="str">
        <f>A80</f>
        <v>Chelsea</v>
      </c>
      <c r="D93" s="20"/>
      <c r="E93" s="58">
        <v>1</v>
      </c>
      <c r="F93" s="21" t="s">
        <v>4</v>
      </c>
      <c r="G93" s="61">
        <v>0</v>
      </c>
      <c r="H93" s="22">
        <f t="shared" si="14"/>
        <v>1</v>
      </c>
      <c r="I93" s="41"/>
      <c r="K93" s="7">
        <f t="shared" si="10"/>
        <v>1</v>
      </c>
      <c r="L93" s="7">
        <f t="shared" si="11"/>
        <v>0</v>
      </c>
      <c r="M93" s="7">
        <f t="shared" si="12"/>
        <v>0</v>
      </c>
    </row>
    <row r="94" spans="1:13">
      <c r="A94" s="70" t="str">
        <f>C90</f>
        <v>Everton</v>
      </c>
      <c r="B94" s="11" t="s">
        <v>4</v>
      </c>
      <c r="C94" s="73" t="str">
        <f>A91</f>
        <v>Manchester United</v>
      </c>
      <c r="D94" s="12"/>
      <c r="E94" s="56">
        <v>0</v>
      </c>
      <c r="F94" s="13" t="s">
        <v>4</v>
      </c>
      <c r="G94" s="59">
        <v>1</v>
      </c>
      <c r="H94" s="14">
        <f>IF(E94=""," ",IF(E94-G94&gt;0,1,IF(E94-G94&lt;0,2,"x")))</f>
        <v>2</v>
      </c>
      <c r="I94" s="41">
        <v>10</v>
      </c>
      <c r="K94" s="7">
        <f t="shared" si="10"/>
        <v>0</v>
      </c>
      <c r="L94" s="7">
        <f t="shared" si="11"/>
        <v>0</v>
      </c>
      <c r="M94" s="7">
        <f t="shared" si="12"/>
        <v>1</v>
      </c>
    </row>
    <row r="95" spans="1:13">
      <c r="A95" s="71" t="str">
        <f>C93</f>
        <v>Chelsea</v>
      </c>
      <c r="B95" s="15" t="s">
        <v>4</v>
      </c>
      <c r="C95" s="74" t="str">
        <f>A89</f>
        <v>Arsenal</v>
      </c>
      <c r="D95" s="16"/>
      <c r="E95" s="57">
        <v>3</v>
      </c>
      <c r="F95" s="17" t="s">
        <v>4</v>
      </c>
      <c r="G95" s="60">
        <v>5</v>
      </c>
      <c r="H95" s="18">
        <f t="shared" ref="H95:H103" si="15">IF(E95=""," ",IF(E95-G95&gt;0,1,IF(E95-G95&lt;0,2,"x")))</f>
        <v>2</v>
      </c>
      <c r="I95" s="41"/>
      <c r="K95" s="7">
        <f t="shared" si="10"/>
        <v>0</v>
      </c>
      <c r="L95" s="7">
        <f t="shared" si="11"/>
        <v>0</v>
      </c>
      <c r="M95" s="7">
        <f t="shared" si="12"/>
        <v>1</v>
      </c>
    </row>
    <row r="96" spans="1:13">
      <c r="A96" s="71" t="str">
        <f>C91</f>
        <v>Manchester City</v>
      </c>
      <c r="B96" s="15" t="s">
        <v>4</v>
      </c>
      <c r="C96" s="74" t="str">
        <f>A84</f>
        <v>Wolverhampton</v>
      </c>
      <c r="D96" s="16"/>
      <c r="E96" s="57">
        <v>3</v>
      </c>
      <c r="F96" s="17" t="s">
        <v>4</v>
      </c>
      <c r="G96" s="60">
        <v>1</v>
      </c>
      <c r="H96" s="18">
        <f t="shared" si="15"/>
        <v>1</v>
      </c>
      <c r="I96" s="41"/>
      <c r="K96" s="7">
        <f t="shared" si="10"/>
        <v>1</v>
      </c>
      <c r="L96" s="7">
        <f t="shared" si="11"/>
        <v>0</v>
      </c>
      <c r="M96" s="7">
        <f t="shared" si="12"/>
        <v>0</v>
      </c>
    </row>
    <row r="97" spans="1:13">
      <c r="A97" s="71" t="str">
        <f>C88</f>
        <v>Norwich City</v>
      </c>
      <c r="B97" s="15" t="s">
        <v>4</v>
      </c>
      <c r="C97" s="74" t="str">
        <f>A92</f>
        <v>Blackburn</v>
      </c>
      <c r="D97" s="16"/>
      <c r="E97" s="57">
        <v>3</v>
      </c>
      <c r="F97" s="17" t="s">
        <v>4</v>
      </c>
      <c r="G97" s="60">
        <v>3</v>
      </c>
      <c r="H97" s="18" t="str">
        <f t="shared" si="15"/>
        <v>x</v>
      </c>
      <c r="I97" s="41"/>
      <c r="K97" s="7">
        <f t="shared" si="10"/>
        <v>0</v>
      </c>
      <c r="L97" s="7">
        <f t="shared" si="11"/>
        <v>1</v>
      </c>
      <c r="M97" s="7">
        <f t="shared" si="12"/>
        <v>0</v>
      </c>
    </row>
    <row r="98" spans="1:13">
      <c r="A98" s="71" t="str">
        <f>C86</f>
        <v>Sunderland</v>
      </c>
      <c r="B98" s="15" t="s">
        <v>4</v>
      </c>
      <c r="C98" s="74" t="str">
        <f>A85</f>
        <v>Aston Villa</v>
      </c>
      <c r="D98" s="16"/>
      <c r="E98" s="57">
        <v>2</v>
      </c>
      <c r="F98" s="17" t="s">
        <v>4</v>
      </c>
      <c r="G98" s="60">
        <v>2</v>
      </c>
      <c r="H98" s="18" t="str">
        <f t="shared" si="15"/>
        <v>x</v>
      </c>
      <c r="I98" s="41"/>
      <c r="K98" s="7">
        <f t="shared" si="10"/>
        <v>0</v>
      </c>
      <c r="L98" s="7">
        <f t="shared" si="11"/>
        <v>1</v>
      </c>
      <c r="M98" s="7">
        <f t="shared" si="12"/>
        <v>0</v>
      </c>
    </row>
    <row r="99" spans="1:13">
      <c r="A99" s="71" t="str">
        <f>C84</f>
        <v>Swansea City</v>
      </c>
      <c r="B99" s="15" t="s">
        <v>4</v>
      </c>
      <c r="C99" s="74" t="str">
        <f>A86</f>
        <v>Bolton</v>
      </c>
      <c r="D99" s="16"/>
      <c r="E99" s="57">
        <v>3</v>
      </c>
      <c r="F99" s="17" t="s">
        <v>4</v>
      </c>
      <c r="G99" s="60">
        <v>1</v>
      </c>
      <c r="H99" s="18">
        <f t="shared" si="15"/>
        <v>1</v>
      </c>
      <c r="I99" s="41"/>
      <c r="K99" s="7">
        <f t="shared" si="10"/>
        <v>1</v>
      </c>
      <c r="L99" s="7">
        <f t="shared" si="11"/>
        <v>0</v>
      </c>
      <c r="M99" s="7">
        <f t="shared" si="12"/>
        <v>0</v>
      </c>
    </row>
    <row r="100" spans="1:13">
      <c r="A100" s="71" t="str">
        <f>C87</f>
        <v>Wigan</v>
      </c>
      <c r="B100" s="15" t="s">
        <v>4</v>
      </c>
      <c r="C100" s="74" t="str">
        <f>A90</f>
        <v>Fulham</v>
      </c>
      <c r="D100" s="16"/>
      <c r="E100" s="57">
        <v>0</v>
      </c>
      <c r="F100" s="17" t="s">
        <v>4</v>
      </c>
      <c r="G100" s="60">
        <v>2</v>
      </c>
      <c r="H100" s="18">
        <f t="shared" si="15"/>
        <v>2</v>
      </c>
      <c r="I100" s="41"/>
      <c r="K100" s="7">
        <f t="shared" si="10"/>
        <v>0</v>
      </c>
      <c r="L100" s="7">
        <f t="shared" si="11"/>
        <v>0</v>
      </c>
      <c r="M100" s="7">
        <f t="shared" si="12"/>
        <v>1</v>
      </c>
    </row>
    <row r="101" spans="1:13">
      <c r="A101" s="71" t="str">
        <f>C85</f>
        <v>WBA</v>
      </c>
      <c r="B101" s="15" t="s">
        <v>4</v>
      </c>
      <c r="C101" s="74" t="str">
        <f>A88</f>
        <v>Liverpool</v>
      </c>
      <c r="D101" s="16"/>
      <c r="E101" s="57">
        <v>0</v>
      </c>
      <c r="F101" s="17" t="s">
        <v>4</v>
      </c>
      <c r="G101" s="60">
        <v>2</v>
      </c>
      <c r="H101" s="18">
        <f t="shared" si="15"/>
        <v>2</v>
      </c>
      <c r="I101" s="41"/>
      <c r="K101" s="7">
        <f t="shared" si="10"/>
        <v>0</v>
      </c>
      <c r="L101" s="7">
        <f t="shared" si="11"/>
        <v>0</v>
      </c>
      <c r="M101" s="7">
        <f t="shared" si="12"/>
        <v>1</v>
      </c>
    </row>
    <row r="102" spans="1:13">
      <c r="A102" s="71" t="str">
        <f>C92</f>
        <v>Tottenham</v>
      </c>
      <c r="B102" s="15" t="s">
        <v>4</v>
      </c>
      <c r="C102" s="74" t="str">
        <f>A93</f>
        <v>QPR</v>
      </c>
      <c r="D102" s="16"/>
      <c r="E102" s="57">
        <v>3</v>
      </c>
      <c r="F102" s="17" t="s">
        <v>4</v>
      </c>
      <c r="G102" s="60">
        <v>1</v>
      </c>
      <c r="H102" s="18">
        <f t="shared" si="15"/>
        <v>1</v>
      </c>
      <c r="I102" s="41"/>
      <c r="K102" s="7">
        <f t="shared" si="10"/>
        <v>1</v>
      </c>
      <c r="L102" s="7">
        <f t="shared" si="11"/>
        <v>0</v>
      </c>
      <c r="M102" s="7">
        <f t="shared" si="12"/>
        <v>0</v>
      </c>
    </row>
    <row r="103" spans="1:13" ht="13.5" thickBot="1">
      <c r="A103" s="72" t="str">
        <f>C89</f>
        <v>Stoke</v>
      </c>
      <c r="B103" s="19" t="s">
        <v>4</v>
      </c>
      <c r="C103" s="75" t="str">
        <f>A87</f>
        <v>Newcastle</v>
      </c>
      <c r="D103" s="20"/>
      <c r="E103" s="58">
        <v>1</v>
      </c>
      <c r="F103" s="21" t="s">
        <v>4</v>
      </c>
      <c r="G103" s="61">
        <v>3</v>
      </c>
      <c r="H103" s="22">
        <f t="shared" si="15"/>
        <v>2</v>
      </c>
      <c r="I103" s="41"/>
      <c r="K103" s="7">
        <f t="shared" si="10"/>
        <v>0</v>
      </c>
      <c r="L103" s="7">
        <f t="shared" si="11"/>
        <v>0</v>
      </c>
      <c r="M103" s="7">
        <f t="shared" si="12"/>
        <v>1</v>
      </c>
    </row>
    <row r="104" spans="1:13">
      <c r="A104" s="70" t="str">
        <f>C103</f>
        <v>Newcastle</v>
      </c>
      <c r="B104" s="11" t="s">
        <v>4</v>
      </c>
      <c r="C104" s="73" t="str">
        <f>A94</f>
        <v>Everton</v>
      </c>
      <c r="D104" s="12"/>
      <c r="E104" s="56">
        <v>2</v>
      </c>
      <c r="F104" s="13" t="s">
        <v>4</v>
      </c>
      <c r="G104" s="59">
        <v>1</v>
      </c>
      <c r="H104" s="14">
        <f>IF(E104=""," ",IF(E104-G104&gt;0,1,IF(E104-G104&lt;0,2,"x")))</f>
        <v>1</v>
      </c>
      <c r="I104" s="41">
        <v>11</v>
      </c>
      <c r="K104" s="7">
        <f t="shared" si="10"/>
        <v>1</v>
      </c>
      <c r="L104" s="7">
        <f t="shared" si="11"/>
        <v>0</v>
      </c>
      <c r="M104" s="7">
        <f t="shared" si="12"/>
        <v>0</v>
      </c>
    </row>
    <row r="105" spans="1:13">
      <c r="A105" s="71" t="str">
        <f>C95</f>
        <v>Arsenal</v>
      </c>
      <c r="B105" s="15" t="s">
        <v>4</v>
      </c>
      <c r="C105" s="74" t="str">
        <f>A101</f>
        <v>WBA</v>
      </c>
      <c r="D105" s="16"/>
      <c r="E105" s="57">
        <v>3</v>
      </c>
      <c r="F105" s="17" t="s">
        <v>4</v>
      </c>
      <c r="G105" s="60">
        <v>0</v>
      </c>
      <c r="H105" s="18">
        <f t="shared" ref="H105:H113" si="16">IF(E105=""," ",IF(E105-G105&gt;0,1,IF(E105-G105&lt;0,2,"x")))</f>
        <v>1</v>
      </c>
      <c r="I105" s="41"/>
      <c r="K105" s="7">
        <f t="shared" si="10"/>
        <v>1</v>
      </c>
      <c r="L105" s="7">
        <f t="shared" si="11"/>
        <v>0</v>
      </c>
      <c r="M105" s="7">
        <f t="shared" si="12"/>
        <v>0</v>
      </c>
    </row>
    <row r="106" spans="1:13">
      <c r="A106" s="71" t="str">
        <f>C98</f>
        <v>Aston Villa</v>
      </c>
      <c r="B106" s="15" t="s">
        <v>4</v>
      </c>
      <c r="C106" s="74" t="str">
        <f>A97</f>
        <v>Norwich City</v>
      </c>
      <c r="D106" s="16"/>
      <c r="E106" s="57">
        <v>3</v>
      </c>
      <c r="F106" s="17" t="s">
        <v>4</v>
      </c>
      <c r="G106" s="60">
        <v>2</v>
      </c>
      <c r="H106" s="18">
        <f t="shared" si="16"/>
        <v>1</v>
      </c>
      <c r="I106" s="41"/>
      <c r="K106" s="7">
        <f t="shared" si="10"/>
        <v>1</v>
      </c>
      <c r="L106" s="7">
        <f t="shared" si="11"/>
        <v>0</v>
      </c>
      <c r="M106" s="7">
        <f t="shared" si="12"/>
        <v>0</v>
      </c>
    </row>
    <row r="107" spans="1:13">
      <c r="A107" s="71" t="str">
        <f>C97</f>
        <v>Blackburn</v>
      </c>
      <c r="B107" s="15" t="s">
        <v>4</v>
      </c>
      <c r="C107" s="74" t="str">
        <f>A95</f>
        <v>Chelsea</v>
      </c>
      <c r="D107" s="16"/>
      <c r="E107" s="57">
        <v>0</v>
      </c>
      <c r="F107" s="17" t="s">
        <v>4</v>
      </c>
      <c r="G107" s="60">
        <v>1</v>
      </c>
      <c r="H107" s="18">
        <f t="shared" si="16"/>
        <v>2</v>
      </c>
      <c r="I107" s="41"/>
      <c r="K107" s="7">
        <f t="shared" si="10"/>
        <v>0</v>
      </c>
      <c r="L107" s="7">
        <f t="shared" si="11"/>
        <v>0</v>
      </c>
      <c r="M107" s="7">
        <f t="shared" si="12"/>
        <v>1</v>
      </c>
    </row>
    <row r="108" spans="1:13">
      <c r="A108" s="71" t="str">
        <f>C101</f>
        <v>Liverpool</v>
      </c>
      <c r="B108" s="15" t="s">
        <v>4</v>
      </c>
      <c r="C108" s="74" t="str">
        <f>A99</f>
        <v>Swansea City</v>
      </c>
      <c r="D108" s="16"/>
      <c r="E108" s="57">
        <v>0</v>
      </c>
      <c r="F108" s="17" t="s">
        <v>4</v>
      </c>
      <c r="G108" s="60">
        <v>0</v>
      </c>
      <c r="H108" s="18" t="str">
        <f t="shared" si="16"/>
        <v>x</v>
      </c>
      <c r="I108" s="41"/>
      <c r="K108" s="7">
        <f t="shared" si="10"/>
        <v>0</v>
      </c>
      <c r="L108" s="7">
        <f t="shared" si="11"/>
        <v>1</v>
      </c>
      <c r="M108" s="7">
        <f t="shared" si="12"/>
        <v>0</v>
      </c>
    </row>
    <row r="109" spans="1:13">
      <c r="A109" s="71" t="str">
        <f>C94</f>
        <v>Manchester United</v>
      </c>
      <c r="B109" s="15" t="s">
        <v>4</v>
      </c>
      <c r="C109" s="74" t="str">
        <f>A98</f>
        <v>Sunderland</v>
      </c>
      <c r="D109" s="16"/>
      <c r="E109" s="57">
        <v>1</v>
      </c>
      <c r="F109" s="17" t="s">
        <v>4</v>
      </c>
      <c r="G109" s="60">
        <v>0</v>
      </c>
      <c r="H109" s="18">
        <f t="shared" si="16"/>
        <v>1</v>
      </c>
      <c r="I109" s="41"/>
      <c r="K109" s="7">
        <f t="shared" si="10"/>
        <v>1</v>
      </c>
      <c r="L109" s="7">
        <f t="shared" si="11"/>
        <v>0</v>
      </c>
      <c r="M109" s="7">
        <f t="shared" si="12"/>
        <v>0</v>
      </c>
    </row>
    <row r="110" spans="1:13">
      <c r="A110" s="71" t="str">
        <f>C102</f>
        <v>QPR</v>
      </c>
      <c r="B110" s="15" t="s">
        <v>4</v>
      </c>
      <c r="C110" s="74" t="str">
        <f>A96</f>
        <v>Manchester City</v>
      </c>
      <c r="D110" s="16"/>
      <c r="E110" s="57">
        <v>2</v>
      </c>
      <c r="F110" s="17" t="s">
        <v>4</v>
      </c>
      <c r="G110" s="60">
        <v>3</v>
      </c>
      <c r="H110" s="18">
        <f t="shared" si="16"/>
        <v>2</v>
      </c>
      <c r="I110" s="41"/>
      <c r="K110" s="7">
        <f t="shared" si="10"/>
        <v>0</v>
      </c>
      <c r="L110" s="7">
        <f t="shared" si="11"/>
        <v>0</v>
      </c>
      <c r="M110" s="7">
        <f t="shared" si="12"/>
        <v>1</v>
      </c>
    </row>
    <row r="111" spans="1:13">
      <c r="A111" s="71" t="str">
        <f>C96</f>
        <v>Wolverhampton</v>
      </c>
      <c r="B111" s="15" t="s">
        <v>4</v>
      </c>
      <c r="C111" s="74" t="str">
        <f>A100</f>
        <v>Wigan</v>
      </c>
      <c r="D111" s="16"/>
      <c r="E111" s="57">
        <v>3</v>
      </c>
      <c r="F111" s="17" t="s">
        <v>4</v>
      </c>
      <c r="G111" s="60">
        <v>1</v>
      </c>
      <c r="H111" s="18">
        <f t="shared" si="16"/>
        <v>1</v>
      </c>
      <c r="I111" s="41"/>
      <c r="K111" s="7">
        <f t="shared" si="10"/>
        <v>1</v>
      </c>
      <c r="L111" s="7">
        <f t="shared" si="11"/>
        <v>0</v>
      </c>
      <c r="M111" s="7">
        <f t="shared" si="12"/>
        <v>0</v>
      </c>
    </row>
    <row r="112" spans="1:13">
      <c r="A112" s="71" t="str">
        <f>C99</f>
        <v>Bolton</v>
      </c>
      <c r="B112" s="15" t="s">
        <v>4</v>
      </c>
      <c r="C112" s="74" t="str">
        <f>A103</f>
        <v>Stoke</v>
      </c>
      <c r="D112" s="16"/>
      <c r="E112" s="57">
        <v>5</v>
      </c>
      <c r="F112" s="17" t="s">
        <v>4</v>
      </c>
      <c r="G112" s="60">
        <v>0</v>
      </c>
      <c r="H112" s="18">
        <f t="shared" si="16"/>
        <v>1</v>
      </c>
      <c r="I112" s="41"/>
      <c r="K112" s="7">
        <f t="shared" si="10"/>
        <v>1</v>
      </c>
      <c r="L112" s="7">
        <f t="shared" si="11"/>
        <v>0</v>
      </c>
      <c r="M112" s="7">
        <f t="shared" si="12"/>
        <v>0</v>
      </c>
    </row>
    <row r="113" spans="1:13" ht="13.5" thickBot="1">
      <c r="A113" s="72" t="str">
        <f>C100</f>
        <v>Fulham</v>
      </c>
      <c r="B113" s="19" t="s">
        <v>4</v>
      </c>
      <c r="C113" s="75" t="str">
        <f>A102</f>
        <v>Tottenham</v>
      </c>
      <c r="D113" s="20"/>
      <c r="E113" s="58">
        <v>1</v>
      </c>
      <c r="F113" s="21" t="s">
        <v>4</v>
      </c>
      <c r="G113" s="61">
        <v>3</v>
      </c>
      <c r="H113" s="22">
        <f t="shared" si="16"/>
        <v>2</v>
      </c>
      <c r="I113" s="41"/>
      <c r="K113" s="7">
        <f t="shared" si="10"/>
        <v>0</v>
      </c>
      <c r="L113" s="7">
        <f t="shared" si="11"/>
        <v>0</v>
      </c>
      <c r="M113" s="7">
        <f t="shared" si="12"/>
        <v>1</v>
      </c>
    </row>
    <row r="114" spans="1:13">
      <c r="A114" s="70" t="str">
        <f>C106</f>
        <v>Norwich City</v>
      </c>
      <c r="B114" s="11" t="s">
        <v>4</v>
      </c>
      <c r="C114" s="73" t="str">
        <f>A105</f>
        <v>Arsenal</v>
      </c>
      <c r="D114" s="12"/>
      <c r="E114" s="56">
        <v>1</v>
      </c>
      <c r="F114" s="13" t="s">
        <v>4</v>
      </c>
      <c r="G114" s="59">
        <v>2</v>
      </c>
      <c r="H114" s="14">
        <f>IF(E114=""," ",IF(E114-G114&gt;0,1,IF(E114-G114&lt;0,2,"x")))</f>
        <v>2</v>
      </c>
      <c r="I114" s="41">
        <v>12</v>
      </c>
      <c r="K114" s="7">
        <f t="shared" si="10"/>
        <v>0</v>
      </c>
      <c r="L114" s="7">
        <f t="shared" si="11"/>
        <v>0</v>
      </c>
      <c r="M114" s="7">
        <f t="shared" si="12"/>
        <v>1</v>
      </c>
    </row>
    <row r="115" spans="1:13">
      <c r="A115" s="71" t="str">
        <f>C104</f>
        <v>Everton</v>
      </c>
      <c r="B115" s="15" t="s">
        <v>4</v>
      </c>
      <c r="C115" s="74" t="str">
        <f>A111</f>
        <v>Wolverhampton</v>
      </c>
      <c r="D115" s="16"/>
      <c r="E115" s="57">
        <v>2</v>
      </c>
      <c r="F115" s="17" t="s">
        <v>4</v>
      </c>
      <c r="G115" s="60">
        <v>1</v>
      </c>
      <c r="H115" s="18">
        <f t="shared" ref="H115:H123" si="17">IF(E115=""," ",IF(E115-G115&gt;0,1,IF(E115-G115&lt;0,2,"x")))</f>
        <v>1</v>
      </c>
      <c r="I115" s="41"/>
      <c r="K115" s="7">
        <f t="shared" si="10"/>
        <v>1</v>
      </c>
      <c r="L115" s="7">
        <f t="shared" si="11"/>
        <v>0</v>
      </c>
      <c r="M115" s="7">
        <f t="shared" si="12"/>
        <v>0</v>
      </c>
    </row>
    <row r="116" spans="1:13">
      <c r="A116" s="71" t="str">
        <f>C110</f>
        <v>Manchester City</v>
      </c>
      <c r="B116" s="15" t="s">
        <v>4</v>
      </c>
      <c r="C116" s="74" t="str">
        <f>A104</f>
        <v>Newcastle</v>
      </c>
      <c r="D116" s="16"/>
      <c r="E116" s="57">
        <v>3</v>
      </c>
      <c r="F116" s="17" t="s">
        <v>4</v>
      </c>
      <c r="G116" s="60">
        <v>1</v>
      </c>
      <c r="H116" s="18">
        <f t="shared" si="17"/>
        <v>1</v>
      </c>
      <c r="I116" s="41"/>
      <c r="K116" s="7">
        <f t="shared" si="10"/>
        <v>1</v>
      </c>
      <c r="L116" s="7">
        <f t="shared" si="11"/>
        <v>0</v>
      </c>
      <c r="M116" s="7">
        <f t="shared" si="12"/>
        <v>0</v>
      </c>
    </row>
    <row r="117" spans="1:13">
      <c r="A117" s="71" t="str">
        <f>C112</f>
        <v>Stoke</v>
      </c>
      <c r="B117" s="15" t="s">
        <v>4</v>
      </c>
      <c r="C117" s="74" t="str">
        <f>A110</f>
        <v>QPR</v>
      </c>
      <c r="D117" s="16"/>
      <c r="E117" s="57">
        <v>2</v>
      </c>
      <c r="F117" s="17" t="s">
        <v>4</v>
      </c>
      <c r="G117" s="60">
        <v>3</v>
      </c>
      <c r="H117" s="18">
        <f t="shared" si="17"/>
        <v>2</v>
      </c>
      <c r="I117" s="41"/>
      <c r="K117" s="7">
        <f t="shared" si="10"/>
        <v>0</v>
      </c>
      <c r="L117" s="7">
        <f t="shared" si="11"/>
        <v>0</v>
      </c>
      <c r="M117" s="7">
        <f t="shared" si="12"/>
        <v>1</v>
      </c>
    </row>
    <row r="118" spans="1:13">
      <c r="A118" s="71" t="str">
        <f>C109</f>
        <v>Sunderland</v>
      </c>
      <c r="B118" s="15" t="s">
        <v>4</v>
      </c>
      <c r="C118" s="74" t="str">
        <f>A113</f>
        <v>Fulham</v>
      </c>
      <c r="D118" s="16"/>
      <c r="E118" s="57">
        <v>0</v>
      </c>
      <c r="F118" s="17" t="s">
        <v>4</v>
      </c>
      <c r="G118" s="60">
        <v>0</v>
      </c>
      <c r="H118" s="18" t="str">
        <f t="shared" si="17"/>
        <v>x</v>
      </c>
      <c r="I118" s="41"/>
      <c r="K118" s="7">
        <f t="shared" si="10"/>
        <v>0</v>
      </c>
      <c r="L118" s="7">
        <f t="shared" si="11"/>
        <v>1</v>
      </c>
      <c r="M118" s="7">
        <f t="shared" si="12"/>
        <v>0</v>
      </c>
    </row>
    <row r="119" spans="1:13">
      <c r="A119" s="71" t="str">
        <f>C105</f>
        <v>WBA</v>
      </c>
      <c r="B119" s="15" t="s">
        <v>4</v>
      </c>
      <c r="C119" s="74" t="str">
        <f>A112</f>
        <v>Bolton</v>
      </c>
      <c r="D119" s="16"/>
      <c r="E119" s="57">
        <v>2</v>
      </c>
      <c r="F119" s="17" t="s">
        <v>4</v>
      </c>
      <c r="G119" s="60">
        <v>1</v>
      </c>
      <c r="H119" s="18">
        <f t="shared" si="17"/>
        <v>1</v>
      </c>
      <c r="I119" s="41"/>
      <c r="K119" s="7">
        <f t="shared" si="10"/>
        <v>1</v>
      </c>
      <c r="L119" s="7">
        <f t="shared" si="11"/>
        <v>0</v>
      </c>
      <c r="M119" s="7">
        <f t="shared" si="12"/>
        <v>0</v>
      </c>
    </row>
    <row r="120" spans="1:13">
      <c r="A120" s="71" t="str">
        <f>C111</f>
        <v>Wigan</v>
      </c>
      <c r="B120" s="15" t="s">
        <v>4</v>
      </c>
      <c r="C120" s="74" t="str">
        <f>A107</f>
        <v>Blackburn</v>
      </c>
      <c r="D120" s="16"/>
      <c r="E120" s="57">
        <v>3</v>
      </c>
      <c r="F120" s="17" t="s">
        <v>4</v>
      </c>
      <c r="G120" s="60">
        <v>3</v>
      </c>
      <c r="H120" s="18" t="str">
        <f t="shared" si="17"/>
        <v>x</v>
      </c>
      <c r="I120" s="41"/>
      <c r="K120" s="7">
        <f t="shared" si="10"/>
        <v>0</v>
      </c>
      <c r="L120" s="7">
        <f t="shared" si="11"/>
        <v>1</v>
      </c>
      <c r="M120" s="7">
        <f t="shared" si="12"/>
        <v>0</v>
      </c>
    </row>
    <row r="121" spans="1:13">
      <c r="A121" s="71" t="str">
        <f>C108</f>
        <v>Swansea City</v>
      </c>
      <c r="B121" s="15" t="s">
        <v>4</v>
      </c>
      <c r="C121" s="74" t="str">
        <f>A109</f>
        <v>Manchester United</v>
      </c>
      <c r="D121" s="16"/>
      <c r="E121" s="57">
        <v>0</v>
      </c>
      <c r="F121" s="17" t="s">
        <v>4</v>
      </c>
      <c r="G121" s="60">
        <v>1</v>
      </c>
      <c r="H121" s="18">
        <f t="shared" si="17"/>
        <v>2</v>
      </c>
      <c r="I121" s="41"/>
      <c r="K121" s="7">
        <f t="shared" si="10"/>
        <v>0</v>
      </c>
      <c r="L121" s="7">
        <f t="shared" si="11"/>
        <v>0</v>
      </c>
      <c r="M121" s="7">
        <f t="shared" si="12"/>
        <v>1</v>
      </c>
    </row>
    <row r="122" spans="1:13">
      <c r="A122" s="71" t="str">
        <f>C107</f>
        <v>Chelsea</v>
      </c>
      <c r="B122" s="15" t="s">
        <v>4</v>
      </c>
      <c r="C122" s="74" t="str">
        <f>A108</f>
        <v>Liverpool</v>
      </c>
      <c r="D122" s="16"/>
      <c r="E122" s="57">
        <v>1</v>
      </c>
      <c r="F122" s="17" t="s">
        <v>4</v>
      </c>
      <c r="G122" s="60">
        <v>2</v>
      </c>
      <c r="H122" s="18">
        <f t="shared" si="17"/>
        <v>2</v>
      </c>
      <c r="I122" s="41"/>
      <c r="K122" s="7">
        <f t="shared" si="10"/>
        <v>0</v>
      </c>
      <c r="L122" s="7">
        <f t="shared" si="11"/>
        <v>0</v>
      </c>
      <c r="M122" s="7">
        <f t="shared" si="12"/>
        <v>1</v>
      </c>
    </row>
    <row r="123" spans="1:13" ht="13.5" thickBot="1">
      <c r="A123" s="72" t="str">
        <f>C113</f>
        <v>Tottenham</v>
      </c>
      <c r="B123" s="19" t="s">
        <v>4</v>
      </c>
      <c r="C123" s="75" t="str">
        <f>A106</f>
        <v>Aston Villa</v>
      </c>
      <c r="D123" s="20"/>
      <c r="E123" s="58">
        <v>2</v>
      </c>
      <c r="F123" s="21" t="s">
        <v>4</v>
      </c>
      <c r="G123" s="61">
        <v>0</v>
      </c>
      <c r="H123" s="22">
        <f t="shared" si="17"/>
        <v>1</v>
      </c>
      <c r="I123" s="41"/>
      <c r="K123" s="7">
        <f t="shared" si="10"/>
        <v>1</v>
      </c>
      <c r="L123" s="7">
        <f t="shared" si="11"/>
        <v>0</v>
      </c>
      <c r="M123" s="7">
        <f t="shared" si="12"/>
        <v>0</v>
      </c>
    </row>
    <row r="124" spans="1:13">
      <c r="A124" s="70" t="str">
        <f>A117</f>
        <v>Stoke</v>
      </c>
      <c r="B124" s="11" t="s">
        <v>4</v>
      </c>
      <c r="C124" s="73" t="str">
        <f>C120</f>
        <v>Blackburn</v>
      </c>
      <c r="D124" s="12"/>
      <c r="E124" s="56">
        <v>3</v>
      </c>
      <c r="F124" s="13" t="s">
        <v>4</v>
      </c>
      <c r="G124" s="59">
        <v>1</v>
      </c>
      <c r="H124" s="14">
        <f>IF(E124=""," ",IF(E124-G124&gt;0,1,IF(E124-G124&lt;0,2,"x")))</f>
        <v>1</v>
      </c>
      <c r="I124" s="41">
        <v>13</v>
      </c>
      <c r="K124" s="7">
        <f t="shared" si="10"/>
        <v>1</v>
      </c>
      <c r="L124" s="7">
        <f t="shared" si="11"/>
        <v>0</v>
      </c>
      <c r="M124" s="7">
        <f t="shared" si="12"/>
        <v>0</v>
      </c>
    </row>
    <row r="125" spans="1:13">
      <c r="A125" s="71" t="str">
        <f>C119</f>
        <v>Bolton</v>
      </c>
      <c r="B125" s="15" t="s">
        <v>4</v>
      </c>
      <c r="C125" s="74" t="str">
        <f>A115</f>
        <v>Everton</v>
      </c>
      <c r="D125" s="16"/>
      <c r="E125" s="57">
        <v>0</v>
      </c>
      <c r="F125" s="17" t="s">
        <v>4</v>
      </c>
      <c r="G125" s="60">
        <v>2</v>
      </c>
      <c r="H125" s="18">
        <f t="shared" ref="H125:H133" si="18">IF(E125=""," ",IF(E125-G125&gt;0,1,IF(E125-G125&lt;0,2,"x")))</f>
        <v>2</v>
      </c>
      <c r="I125" s="41"/>
      <c r="K125" s="7">
        <f t="shared" si="10"/>
        <v>0</v>
      </c>
      <c r="L125" s="7">
        <f t="shared" si="11"/>
        <v>0</v>
      </c>
      <c r="M125" s="7">
        <f t="shared" si="12"/>
        <v>1</v>
      </c>
    </row>
    <row r="126" spans="1:13">
      <c r="A126" s="71" t="str">
        <f>A122</f>
        <v>Chelsea</v>
      </c>
      <c r="B126" s="15" t="s">
        <v>4</v>
      </c>
      <c r="C126" s="74" t="str">
        <f>C115</f>
        <v>Wolverhampton</v>
      </c>
      <c r="D126" s="16"/>
      <c r="E126" s="57">
        <v>3</v>
      </c>
      <c r="F126" s="17" t="s">
        <v>4</v>
      </c>
      <c r="G126" s="60">
        <v>0</v>
      </c>
      <c r="H126" s="18">
        <f t="shared" si="18"/>
        <v>1</v>
      </c>
      <c r="I126" s="41"/>
      <c r="K126" s="7">
        <f t="shared" si="10"/>
        <v>1</v>
      </c>
      <c r="L126" s="7">
        <f t="shared" si="11"/>
        <v>0</v>
      </c>
      <c r="M126" s="7">
        <f t="shared" si="12"/>
        <v>0</v>
      </c>
    </row>
    <row r="127" spans="1:13">
      <c r="A127" s="71" t="str">
        <f>C121</f>
        <v>Manchester United</v>
      </c>
      <c r="B127" s="15" t="s">
        <v>4</v>
      </c>
      <c r="C127" s="74" t="str">
        <f>C116</f>
        <v>Newcastle</v>
      </c>
      <c r="D127" s="16"/>
      <c r="E127" s="57">
        <v>1</v>
      </c>
      <c r="F127" s="17" t="s">
        <v>4</v>
      </c>
      <c r="G127" s="60">
        <v>1</v>
      </c>
      <c r="H127" s="18" t="str">
        <f t="shared" si="18"/>
        <v>x</v>
      </c>
      <c r="I127" s="41"/>
      <c r="K127" s="7">
        <f t="shared" si="10"/>
        <v>0</v>
      </c>
      <c r="L127" s="7">
        <f t="shared" si="11"/>
        <v>1</v>
      </c>
      <c r="M127" s="7">
        <f t="shared" si="12"/>
        <v>0</v>
      </c>
    </row>
    <row r="128" spans="1:13">
      <c r="A128" s="71" t="str">
        <f>A114</f>
        <v>Norwich City</v>
      </c>
      <c r="B128" s="15" t="s">
        <v>4</v>
      </c>
      <c r="C128" s="74" t="str">
        <f>C117</f>
        <v>QPR</v>
      </c>
      <c r="D128" s="16"/>
      <c r="E128" s="57">
        <v>2</v>
      </c>
      <c r="F128" s="17" t="s">
        <v>4</v>
      </c>
      <c r="G128" s="60">
        <v>1</v>
      </c>
      <c r="H128" s="18">
        <f t="shared" si="18"/>
        <v>1</v>
      </c>
      <c r="I128" s="41"/>
      <c r="K128" s="7">
        <f t="shared" si="10"/>
        <v>1</v>
      </c>
      <c r="L128" s="7">
        <f t="shared" si="11"/>
        <v>0</v>
      </c>
      <c r="M128" s="7">
        <f t="shared" si="12"/>
        <v>0</v>
      </c>
    </row>
    <row r="129" spans="1:13">
      <c r="A129" s="71" t="str">
        <f>A118</f>
        <v>Sunderland</v>
      </c>
      <c r="B129" s="15" t="s">
        <v>4</v>
      </c>
      <c r="C129" s="74" t="str">
        <f>A120</f>
        <v>Wigan</v>
      </c>
      <c r="D129" s="16"/>
      <c r="E129" s="57">
        <v>1</v>
      </c>
      <c r="F129" s="17" t="s">
        <v>4</v>
      </c>
      <c r="G129" s="60">
        <v>2</v>
      </c>
      <c r="H129" s="18">
        <f t="shared" si="18"/>
        <v>2</v>
      </c>
      <c r="I129" s="41"/>
      <c r="K129" s="7">
        <f t="shared" si="10"/>
        <v>0</v>
      </c>
      <c r="L129" s="7">
        <f t="shared" si="11"/>
        <v>0</v>
      </c>
      <c r="M129" s="7">
        <f t="shared" si="12"/>
        <v>1</v>
      </c>
    </row>
    <row r="130" spans="1:13">
      <c r="A130" s="71" t="str">
        <f>A119</f>
        <v>WBA</v>
      </c>
      <c r="B130" s="15" t="s">
        <v>4</v>
      </c>
      <c r="C130" s="74" t="str">
        <f>A123</f>
        <v>Tottenham</v>
      </c>
      <c r="D130" s="16"/>
      <c r="E130" s="57">
        <v>1</v>
      </c>
      <c r="F130" s="17" t="s">
        <v>4</v>
      </c>
      <c r="G130" s="60">
        <v>3</v>
      </c>
      <c r="H130" s="18">
        <f t="shared" si="18"/>
        <v>2</v>
      </c>
      <c r="I130" s="41"/>
      <c r="K130" s="7">
        <f t="shared" si="10"/>
        <v>0</v>
      </c>
      <c r="L130" s="7">
        <f t="shared" si="11"/>
        <v>0</v>
      </c>
      <c r="M130" s="7">
        <f t="shared" si="12"/>
        <v>1</v>
      </c>
    </row>
    <row r="131" spans="1:13">
      <c r="A131" s="71" t="str">
        <f>C114</f>
        <v>Arsenal</v>
      </c>
      <c r="B131" s="15" t="s">
        <v>4</v>
      </c>
      <c r="C131" s="74" t="str">
        <f>C118</f>
        <v>Fulham</v>
      </c>
      <c r="D131" s="16"/>
      <c r="E131" s="57">
        <v>1</v>
      </c>
      <c r="F131" s="17" t="s">
        <v>4</v>
      </c>
      <c r="G131" s="60">
        <v>1</v>
      </c>
      <c r="H131" s="18" t="str">
        <f t="shared" si="18"/>
        <v>x</v>
      </c>
      <c r="I131" s="41"/>
      <c r="K131" s="7">
        <f t="shared" si="10"/>
        <v>0</v>
      </c>
      <c r="L131" s="7">
        <f t="shared" si="11"/>
        <v>1</v>
      </c>
      <c r="M131" s="7">
        <f t="shared" si="12"/>
        <v>0</v>
      </c>
    </row>
    <row r="132" spans="1:13">
      <c r="A132" s="71" t="str">
        <f>A121</f>
        <v>Swansea City</v>
      </c>
      <c r="B132" s="15" t="s">
        <v>4</v>
      </c>
      <c r="C132" s="74" t="str">
        <f>C123</f>
        <v>Aston Villa</v>
      </c>
      <c r="D132" s="16"/>
      <c r="E132" s="57">
        <v>0</v>
      </c>
      <c r="F132" s="17" t="s">
        <v>4</v>
      </c>
      <c r="G132" s="60">
        <v>0</v>
      </c>
      <c r="H132" s="18" t="str">
        <f t="shared" si="18"/>
        <v>x</v>
      </c>
      <c r="I132" s="41"/>
      <c r="K132" s="7">
        <f t="shared" si="10"/>
        <v>0</v>
      </c>
      <c r="L132" s="7">
        <f t="shared" si="11"/>
        <v>1</v>
      </c>
      <c r="M132" s="7">
        <f t="shared" si="12"/>
        <v>0</v>
      </c>
    </row>
    <row r="133" spans="1:13" ht="13.5" thickBot="1">
      <c r="A133" s="72" t="str">
        <f>C122</f>
        <v>Liverpool</v>
      </c>
      <c r="B133" s="19" t="s">
        <v>4</v>
      </c>
      <c r="C133" s="75" t="str">
        <f>A116</f>
        <v>Manchester City</v>
      </c>
      <c r="D133" s="20"/>
      <c r="E133" s="58">
        <v>1</v>
      </c>
      <c r="F133" s="21" t="s">
        <v>4</v>
      </c>
      <c r="G133" s="61">
        <v>1</v>
      </c>
      <c r="H133" s="22" t="str">
        <f t="shared" si="18"/>
        <v>x</v>
      </c>
      <c r="I133" s="41"/>
      <c r="K133" s="7">
        <f t="shared" ref="K133:K196" si="19">IF(E133=""," ",IF(E133-G133&gt;0,1,0))</f>
        <v>0</v>
      </c>
      <c r="L133" s="7">
        <f t="shared" ref="L133:L196" si="20">IF(E133=""," ",IF(E133-G133=0,1,0))</f>
        <v>1</v>
      </c>
      <c r="M133" s="7">
        <f t="shared" ref="M133:M196" si="21">IF(E133=""," ",IF(E133-G133&lt;0,1,0))</f>
        <v>0</v>
      </c>
    </row>
    <row r="134" spans="1:13">
      <c r="A134" s="70" t="str">
        <f>C127</f>
        <v>Newcastle</v>
      </c>
      <c r="B134" s="11" t="s">
        <v>4</v>
      </c>
      <c r="C134" s="73" t="str">
        <f>A126</f>
        <v>Chelsea</v>
      </c>
      <c r="D134" s="12"/>
      <c r="E134" s="56">
        <v>0</v>
      </c>
      <c r="F134" s="13" t="s">
        <v>4</v>
      </c>
      <c r="G134" s="59">
        <v>3</v>
      </c>
      <c r="H134" s="14">
        <f>IF(E134=""," ",IF(E134-G134&gt;0,1,IF(E134-G134&lt;0,2,"x")))</f>
        <v>2</v>
      </c>
      <c r="I134" s="41">
        <v>14</v>
      </c>
      <c r="K134" s="7">
        <f t="shared" si="19"/>
        <v>0</v>
      </c>
      <c r="L134" s="7">
        <f t="shared" si="20"/>
        <v>0</v>
      </c>
      <c r="M134" s="7">
        <f t="shared" si="21"/>
        <v>1</v>
      </c>
    </row>
    <row r="135" spans="1:13">
      <c r="A135" s="71" t="str">
        <f>C124</f>
        <v>Blackburn</v>
      </c>
      <c r="B135" s="15" t="s">
        <v>4</v>
      </c>
      <c r="C135" s="74" t="str">
        <f>A132</f>
        <v>Swansea City</v>
      </c>
      <c r="D135" s="16"/>
      <c r="E135" s="57">
        <v>4</v>
      </c>
      <c r="F135" s="17" t="s">
        <v>4</v>
      </c>
      <c r="G135" s="60">
        <v>2</v>
      </c>
      <c r="H135" s="18">
        <f t="shared" ref="H135:H143" si="22">IF(E135=""," ",IF(E135-G135&gt;0,1,IF(E135-G135&lt;0,2,"x")))</f>
        <v>1</v>
      </c>
      <c r="I135" s="41"/>
      <c r="K135" s="7">
        <f t="shared" si="19"/>
        <v>1</v>
      </c>
      <c r="L135" s="7">
        <f t="shared" si="20"/>
        <v>0</v>
      </c>
      <c r="M135" s="7">
        <f t="shared" si="21"/>
        <v>0</v>
      </c>
    </row>
    <row r="136" spans="1:13">
      <c r="A136" s="71" t="str">
        <f>C133</f>
        <v>Manchester City</v>
      </c>
      <c r="B136" s="15" t="s">
        <v>4</v>
      </c>
      <c r="C136" s="74" t="str">
        <f>A128</f>
        <v>Norwich City</v>
      </c>
      <c r="D136" s="16"/>
      <c r="E136" s="57">
        <v>5</v>
      </c>
      <c r="F136" s="17" t="s">
        <v>4</v>
      </c>
      <c r="G136" s="60">
        <v>1</v>
      </c>
      <c r="H136" s="18">
        <f t="shared" si="22"/>
        <v>1</v>
      </c>
      <c r="I136" s="41"/>
      <c r="K136" s="7">
        <f t="shared" si="19"/>
        <v>1</v>
      </c>
      <c r="L136" s="7">
        <f t="shared" si="20"/>
        <v>0</v>
      </c>
      <c r="M136" s="7">
        <f t="shared" si="21"/>
        <v>0</v>
      </c>
    </row>
    <row r="137" spans="1:13">
      <c r="A137" s="71" t="str">
        <f>C128</f>
        <v>QPR</v>
      </c>
      <c r="B137" s="15" t="s">
        <v>4</v>
      </c>
      <c r="C137" s="74" t="str">
        <f>A130</f>
        <v>WBA</v>
      </c>
      <c r="D137" s="16"/>
      <c r="E137" s="57">
        <v>1</v>
      </c>
      <c r="F137" s="17" t="s">
        <v>4</v>
      </c>
      <c r="G137" s="60">
        <v>1</v>
      </c>
      <c r="H137" s="18" t="str">
        <f t="shared" si="22"/>
        <v>x</v>
      </c>
      <c r="I137" s="41"/>
      <c r="K137" s="7">
        <f t="shared" si="19"/>
        <v>0</v>
      </c>
      <c r="L137" s="7">
        <f t="shared" si="20"/>
        <v>1</v>
      </c>
      <c r="M137" s="7">
        <f t="shared" si="21"/>
        <v>0</v>
      </c>
    </row>
    <row r="138" spans="1:13">
      <c r="A138" s="71" t="str">
        <f>C130</f>
        <v>Tottenham</v>
      </c>
      <c r="B138" s="15" t="s">
        <v>4</v>
      </c>
      <c r="C138" s="74" t="str">
        <f>A125</f>
        <v>Bolton</v>
      </c>
      <c r="D138" s="16"/>
      <c r="E138" s="57">
        <v>3</v>
      </c>
      <c r="F138" s="17" t="s">
        <v>4</v>
      </c>
      <c r="G138" s="60">
        <v>0</v>
      </c>
      <c r="H138" s="18">
        <f t="shared" si="22"/>
        <v>1</v>
      </c>
      <c r="I138" s="41"/>
      <c r="K138" s="7">
        <f t="shared" si="19"/>
        <v>1</v>
      </c>
      <c r="L138" s="7">
        <f t="shared" si="20"/>
        <v>0</v>
      </c>
      <c r="M138" s="7">
        <f t="shared" si="21"/>
        <v>0</v>
      </c>
    </row>
    <row r="139" spans="1:13">
      <c r="A139" s="71" t="str">
        <f>C129</f>
        <v>Wigan</v>
      </c>
      <c r="B139" s="15" t="s">
        <v>4</v>
      </c>
      <c r="C139" s="74" t="str">
        <f>A131</f>
        <v>Arsenal</v>
      </c>
      <c r="D139" s="16"/>
      <c r="E139" s="57">
        <v>0</v>
      </c>
      <c r="F139" s="17" t="s">
        <v>4</v>
      </c>
      <c r="G139" s="60">
        <v>4</v>
      </c>
      <c r="H139" s="18">
        <f t="shared" si="22"/>
        <v>2</v>
      </c>
      <c r="I139" s="41"/>
      <c r="K139" s="7">
        <f t="shared" si="19"/>
        <v>0</v>
      </c>
      <c r="L139" s="7">
        <f t="shared" si="20"/>
        <v>0</v>
      </c>
      <c r="M139" s="7">
        <f t="shared" si="21"/>
        <v>1</v>
      </c>
    </row>
    <row r="140" spans="1:13">
      <c r="A140" s="71" t="str">
        <f>C132</f>
        <v>Aston Villa</v>
      </c>
      <c r="B140" s="15" t="s">
        <v>4</v>
      </c>
      <c r="C140" s="74" t="str">
        <f>A127</f>
        <v>Manchester United</v>
      </c>
      <c r="D140" s="16"/>
      <c r="E140" s="57">
        <v>0</v>
      </c>
      <c r="F140" s="17" t="s">
        <v>4</v>
      </c>
      <c r="G140" s="60">
        <v>1</v>
      </c>
      <c r="H140" s="18">
        <f t="shared" si="22"/>
        <v>2</v>
      </c>
      <c r="I140" s="41"/>
      <c r="K140" s="7">
        <f t="shared" si="19"/>
        <v>0</v>
      </c>
      <c r="L140" s="7">
        <f t="shared" si="20"/>
        <v>0</v>
      </c>
      <c r="M140" s="7">
        <f t="shared" si="21"/>
        <v>1</v>
      </c>
    </row>
    <row r="141" spans="1:13">
      <c r="A141" s="71" t="str">
        <f>C125</f>
        <v>Everton</v>
      </c>
      <c r="B141" s="15" t="s">
        <v>4</v>
      </c>
      <c r="C141" s="74" t="str">
        <f>A124</f>
        <v>Stoke</v>
      </c>
      <c r="D141" s="16"/>
      <c r="E141" s="57">
        <v>0</v>
      </c>
      <c r="F141" s="17" t="s">
        <v>4</v>
      </c>
      <c r="G141" s="60">
        <v>1</v>
      </c>
      <c r="H141" s="18">
        <f t="shared" si="22"/>
        <v>2</v>
      </c>
      <c r="I141" s="41"/>
      <c r="K141" s="7">
        <f t="shared" si="19"/>
        <v>0</v>
      </c>
      <c r="L141" s="7">
        <f t="shared" si="20"/>
        <v>0</v>
      </c>
      <c r="M141" s="7">
        <f t="shared" si="21"/>
        <v>1</v>
      </c>
    </row>
    <row r="142" spans="1:13">
      <c r="A142" s="71" t="str">
        <f>C126</f>
        <v>Wolverhampton</v>
      </c>
      <c r="B142" s="15" t="s">
        <v>4</v>
      </c>
      <c r="C142" s="74" t="str">
        <f>A129</f>
        <v>Sunderland</v>
      </c>
      <c r="D142" s="16"/>
      <c r="E142" s="57">
        <v>2</v>
      </c>
      <c r="F142" s="17" t="s">
        <v>4</v>
      </c>
      <c r="G142" s="60">
        <v>1</v>
      </c>
      <c r="H142" s="18">
        <f t="shared" si="22"/>
        <v>1</v>
      </c>
      <c r="I142" s="41"/>
      <c r="K142" s="7">
        <f t="shared" si="19"/>
        <v>1</v>
      </c>
      <c r="L142" s="7">
        <f t="shared" si="20"/>
        <v>0</v>
      </c>
      <c r="M142" s="7">
        <f t="shared" si="21"/>
        <v>0</v>
      </c>
    </row>
    <row r="143" spans="1:13" ht="13.5" thickBot="1">
      <c r="A143" s="72" t="str">
        <f>C131</f>
        <v>Fulham</v>
      </c>
      <c r="B143" s="19" t="s">
        <v>4</v>
      </c>
      <c r="C143" s="75" t="str">
        <f>A133</f>
        <v>Liverpool</v>
      </c>
      <c r="D143" s="20"/>
      <c r="E143" s="58">
        <v>1</v>
      </c>
      <c r="F143" s="21" t="s">
        <v>4</v>
      </c>
      <c r="G143" s="61">
        <v>0</v>
      </c>
      <c r="H143" s="22">
        <f t="shared" si="22"/>
        <v>1</v>
      </c>
      <c r="I143" s="41"/>
      <c r="K143" s="7">
        <f t="shared" si="19"/>
        <v>1</v>
      </c>
      <c r="L143" s="7">
        <f t="shared" si="20"/>
        <v>0</v>
      </c>
      <c r="M143" s="7">
        <f t="shared" si="21"/>
        <v>0</v>
      </c>
    </row>
    <row r="144" spans="1:13">
      <c r="A144" s="70" t="str">
        <f>C139</f>
        <v>Arsenal</v>
      </c>
      <c r="B144" s="11" t="s">
        <v>4</v>
      </c>
      <c r="C144" s="73" t="str">
        <f>A141</f>
        <v>Everton</v>
      </c>
      <c r="D144" s="12"/>
      <c r="E144" s="56">
        <v>1</v>
      </c>
      <c r="F144" s="13" t="s">
        <v>4</v>
      </c>
      <c r="G144" s="59">
        <v>0</v>
      </c>
      <c r="H144" s="14">
        <f>IF(E144=""," ",IF(E144-G144&gt;0,1,IF(E144-G144&lt;0,2,"x")))</f>
        <v>1</v>
      </c>
      <c r="I144" s="41">
        <v>15</v>
      </c>
      <c r="K144" s="7">
        <f t="shared" si="19"/>
        <v>1</v>
      </c>
      <c r="L144" s="7">
        <f t="shared" si="20"/>
        <v>0</v>
      </c>
      <c r="M144" s="7">
        <f t="shared" si="21"/>
        <v>0</v>
      </c>
    </row>
    <row r="145" spans="1:13">
      <c r="A145" s="71" t="str">
        <f>C138</f>
        <v>Bolton</v>
      </c>
      <c r="B145" s="15" t="s">
        <v>4</v>
      </c>
      <c r="C145" s="74" t="str">
        <f>A140</f>
        <v>Aston Villa</v>
      </c>
      <c r="D145" s="16"/>
      <c r="E145" s="57">
        <v>1</v>
      </c>
      <c r="F145" s="17" t="s">
        <v>4</v>
      </c>
      <c r="G145" s="60">
        <v>2</v>
      </c>
      <c r="H145" s="18">
        <f t="shared" ref="H145:H153" si="23">IF(E145=""," ",IF(E145-G145&gt;0,1,IF(E145-G145&lt;0,2,"x")))</f>
        <v>2</v>
      </c>
      <c r="I145" s="41"/>
      <c r="K145" s="7">
        <f t="shared" si="19"/>
        <v>0</v>
      </c>
      <c r="L145" s="7">
        <f t="shared" si="20"/>
        <v>0</v>
      </c>
      <c r="M145" s="7">
        <f t="shared" si="21"/>
        <v>1</v>
      </c>
    </row>
    <row r="146" spans="1:13">
      <c r="A146" s="71" t="str">
        <f>C143</f>
        <v>Liverpool</v>
      </c>
      <c r="B146" s="15" t="s">
        <v>4</v>
      </c>
      <c r="C146" s="74" t="str">
        <f>A137</f>
        <v>QPR</v>
      </c>
      <c r="D146" s="16"/>
      <c r="E146" s="57">
        <v>1</v>
      </c>
      <c r="F146" s="17" t="s">
        <v>4</v>
      </c>
      <c r="G146" s="60">
        <v>0</v>
      </c>
      <c r="H146" s="18">
        <f t="shared" si="23"/>
        <v>1</v>
      </c>
      <c r="I146" s="41"/>
      <c r="K146" s="7">
        <f t="shared" si="19"/>
        <v>1</v>
      </c>
      <c r="L146" s="7">
        <f t="shared" si="20"/>
        <v>0</v>
      </c>
      <c r="M146" s="7">
        <f t="shared" si="21"/>
        <v>0</v>
      </c>
    </row>
    <row r="147" spans="1:13">
      <c r="A147" s="71" t="str">
        <f>C140</f>
        <v>Manchester United</v>
      </c>
      <c r="B147" s="15" t="s">
        <v>4</v>
      </c>
      <c r="C147" s="74" t="str">
        <f>A142</f>
        <v>Wolverhampton</v>
      </c>
      <c r="D147" s="16"/>
      <c r="E147" s="57">
        <v>4</v>
      </c>
      <c r="F147" s="17" t="s">
        <v>4</v>
      </c>
      <c r="G147" s="60">
        <v>1</v>
      </c>
      <c r="H147" s="18">
        <f t="shared" si="23"/>
        <v>1</v>
      </c>
      <c r="I147" s="41"/>
      <c r="K147" s="7">
        <f t="shared" si="19"/>
        <v>1</v>
      </c>
      <c r="L147" s="7">
        <f t="shared" si="20"/>
        <v>0</v>
      </c>
      <c r="M147" s="7">
        <f t="shared" si="21"/>
        <v>0</v>
      </c>
    </row>
    <row r="148" spans="1:13">
      <c r="A148" s="71" t="str">
        <f>C136</f>
        <v>Norwich City</v>
      </c>
      <c r="B148" s="15" t="s">
        <v>4</v>
      </c>
      <c r="C148" s="74" t="str">
        <f>A134</f>
        <v>Newcastle</v>
      </c>
      <c r="D148" s="16"/>
      <c r="E148" s="57">
        <v>4</v>
      </c>
      <c r="F148" s="17" t="s">
        <v>4</v>
      </c>
      <c r="G148" s="60">
        <v>2</v>
      </c>
      <c r="H148" s="18">
        <f t="shared" si="23"/>
        <v>1</v>
      </c>
      <c r="I148" s="41"/>
      <c r="K148" s="7">
        <f t="shared" si="19"/>
        <v>1</v>
      </c>
      <c r="L148" s="7">
        <f t="shared" si="20"/>
        <v>0</v>
      </c>
      <c r="M148" s="7">
        <f t="shared" si="21"/>
        <v>0</v>
      </c>
    </row>
    <row r="149" spans="1:13">
      <c r="A149" s="71" t="str">
        <f>C135</f>
        <v>Swansea City</v>
      </c>
      <c r="B149" s="15" t="s">
        <v>4</v>
      </c>
      <c r="C149" s="74" t="str">
        <f>A143</f>
        <v>Fulham</v>
      </c>
      <c r="D149" s="16"/>
      <c r="E149" s="57">
        <v>2</v>
      </c>
      <c r="F149" s="17" t="s">
        <v>4</v>
      </c>
      <c r="G149" s="60">
        <v>0</v>
      </c>
      <c r="H149" s="18">
        <f t="shared" si="23"/>
        <v>1</v>
      </c>
      <c r="I149" s="41"/>
      <c r="K149" s="7">
        <f t="shared" si="19"/>
        <v>1</v>
      </c>
      <c r="L149" s="7">
        <f t="shared" si="20"/>
        <v>0</v>
      </c>
      <c r="M149" s="7">
        <f t="shared" si="21"/>
        <v>0</v>
      </c>
    </row>
    <row r="150" spans="1:13">
      <c r="A150" s="71" t="str">
        <f>C137</f>
        <v>WBA</v>
      </c>
      <c r="B150" s="15" t="s">
        <v>4</v>
      </c>
      <c r="C150" s="74" t="str">
        <f>A139</f>
        <v>Wigan</v>
      </c>
      <c r="D150" s="16"/>
      <c r="E150" s="57">
        <v>1</v>
      </c>
      <c r="F150" s="17" t="s">
        <v>4</v>
      </c>
      <c r="G150" s="60">
        <v>2</v>
      </c>
      <c r="H150" s="18">
        <f t="shared" si="23"/>
        <v>2</v>
      </c>
      <c r="I150" s="41"/>
      <c r="K150" s="7">
        <f t="shared" si="19"/>
        <v>0</v>
      </c>
      <c r="L150" s="7">
        <f t="shared" si="20"/>
        <v>0</v>
      </c>
      <c r="M150" s="7">
        <f t="shared" si="21"/>
        <v>1</v>
      </c>
    </row>
    <row r="151" spans="1:13">
      <c r="A151" s="71" t="str">
        <f>C142</f>
        <v>Sunderland</v>
      </c>
      <c r="B151" s="15" t="s">
        <v>4</v>
      </c>
      <c r="C151" s="74" t="str">
        <f>A135</f>
        <v>Blackburn</v>
      </c>
      <c r="D151" s="16"/>
      <c r="E151" s="57">
        <v>2</v>
      </c>
      <c r="F151" s="17" t="s">
        <v>4</v>
      </c>
      <c r="G151" s="60">
        <v>1</v>
      </c>
      <c r="H151" s="18">
        <f t="shared" si="23"/>
        <v>1</v>
      </c>
      <c r="I151" s="41"/>
      <c r="K151" s="7">
        <f t="shared" si="19"/>
        <v>1</v>
      </c>
      <c r="L151" s="7">
        <f t="shared" si="20"/>
        <v>0</v>
      </c>
      <c r="M151" s="7">
        <f t="shared" si="21"/>
        <v>0</v>
      </c>
    </row>
    <row r="152" spans="1:13">
      <c r="A152" s="71" t="str">
        <f>C141</f>
        <v>Stoke</v>
      </c>
      <c r="B152" s="15" t="s">
        <v>4</v>
      </c>
      <c r="C152" s="74" t="str">
        <f>A138</f>
        <v>Tottenham</v>
      </c>
      <c r="D152" s="16"/>
      <c r="E152" s="57">
        <v>2</v>
      </c>
      <c r="F152" s="17" t="s">
        <v>4</v>
      </c>
      <c r="G152" s="60">
        <v>1</v>
      </c>
      <c r="H152" s="18">
        <f t="shared" si="23"/>
        <v>1</v>
      </c>
      <c r="I152" s="41"/>
      <c r="K152" s="7">
        <f t="shared" si="19"/>
        <v>1</v>
      </c>
      <c r="L152" s="7">
        <f t="shared" si="20"/>
        <v>0</v>
      </c>
      <c r="M152" s="7">
        <f t="shared" si="21"/>
        <v>0</v>
      </c>
    </row>
    <row r="153" spans="1:13" ht="13.5" thickBot="1">
      <c r="A153" s="72" t="str">
        <f>C134</f>
        <v>Chelsea</v>
      </c>
      <c r="B153" s="19" t="s">
        <v>4</v>
      </c>
      <c r="C153" s="75" t="str">
        <f>A136</f>
        <v>Manchester City</v>
      </c>
      <c r="D153" s="20"/>
      <c r="E153" s="58">
        <v>2</v>
      </c>
      <c r="F153" s="21" t="s">
        <v>4</v>
      </c>
      <c r="G153" s="61">
        <v>1</v>
      </c>
      <c r="H153" s="22">
        <f t="shared" si="23"/>
        <v>1</v>
      </c>
      <c r="I153" s="41"/>
      <c r="K153" s="7">
        <f t="shared" si="19"/>
        <v>1</v>
      </c>
      <c r="L153" s="7">
        <f t="shared" si="20"/>
        <v>0</v>
      </c>
      <c r="M153" s="7">
        <f t="shared" si="21"/>
        <v>0</v>
      </c>
    </row>
    <row r="154" spans="1:13">
      <c r="A154" s="70" t="str">
        <f>C151</f>
        <v>Blackburn</v>
      </c>
      <c r="B154" s="11" t="s">
        <v>4</v>
      </c>
      <c r="C154" s="73" t="str">
        <f>A150</f>
        <v>WBA</v>
      </c>
      <c r="D154" s="12"/>
      <c r="E154" s="56"/>
      <c r="F154" s="13"/>
      <c r="G154" s="59"/>
      <c r="H154" s="14" t="str">
        <f>IF(E154=""," ",IF(E154-G154&gt;0,1,IF(E154-G154&lt;0,2,"x")))</f>
        <v xml:space="preserve"> </v>
      </c>
      <c r="I154" s="41">
        <v>16</v>
      </c>
      <c r="K154" s="7" t="str">
        <f t="shared" si="19"/>
        <v xml:space="preserve"> </v>
      </c>
      <c r="L154" s="7" t="str">
        <f t="shared" si="20"/>
        <v xml:space="preserve"> </v>
      </c>
      <c r="M154" s="7" t="str">
        <f t="shared" si="21"/>
        <v xml:space="preserve"> </v>
      </c>
    </row>
    <row r="155" spans="1:13">
      <c r="A155" s="71" t="str">
        <f>C144</f>
        <v>Everton</v>
      </c>
      <c r="B155" s="15" t="s">
        <v>4</v>
      </c>
      <c r="C155" s="74" t="str">
        <f>A148</f>
        <v>Norwich City</v>
      </c>
      <c r="D155" s="16"/>
      <c r="E155" s="57"/>
      <c r="F155" s="17"/>
      <c r="G155" s="60"/>
      <c r="H155" s="18" t="str">
        <f t="shared" ref="H155:H163" si="24">IF(E155=""," ",IF(E155-G155&gt;0,1,IF(E155-G155&lt;0,2,"x")))</f>
        <v xml:space="preserve"> </v>
      </c>
      <c r="I155" s="41"/>
      <c r="K155" s="7" t="str">
        <f t="shared" si="19"/>
        <v xml:space="preserve"> </v>
      </c>
      <c r="L155" s="7" t="str">
        <f t="shared" si="20"/>
        <v xml:space="preserve"> </v>
      </c>
      <c r="M155" s="7" t="str">
        <f t="shared" si="21"/>
        <v xml:space="preserve"> </v>
      </c>
    </row>
    <row r="156" spans="1:13">
      <c r="A156" s="71" t="str">
        <f>C149</f>
        <v>Fulham</v>
      </c>
      <c r="B156" s="15" t="s">
        <v>4</v>
      </c>
      <c r="C156" s="74" t="str">
        <f>A145</f>
        <v>Bolton</v>
      </c>
      <c r="D156" s="16"/>
      <c r="E156" s="57"/>
      <c r="F156" s="17"/>
      <c r="G156" s="60"/>
      <c r="H156" s="18" t="str">
        <f t="shared" si="24"/>
        <v xml:space="preserve"> </v>
      </c>
      <c r="I156" s="41"/>
      <c r="K156" s="7" t="str">
        <f t="shared" si="19"/>
        <v xml:space="preserve"> </v>
      </c>
      <c r="L156" s="7" t="str">
        <f t="shared" si="20"/>
        <v xml:space="preserve"> </v>
      </c>
      <c r="M156" s="7" t="str">
        <f t="shared" si="21"/>
        <v xml:space="preserve"> </v>
      </c>
    </row>
    <row r="157" spans="1:13">
      <c r="A157" s="71" t="str">
        <f>C148</f>
        <v>Newcastle</v>
      </c>
      <c r="B157" s="15" t="s">
        <v>4</v>
      </c>
      <c r="C157" s="74" t="str">
        <f>A149</f>
        <v>Swansea City</v>
      </c>
      <c r="D157" s="16"/>
      <c r="E157" s="57"/>
      <c r="F157" s="17"/>
      <c r="G157" s="60"/>
      <c r="H157" s="18" t="str">
        <f t="shared" si="24"/>
        <v xml:space="preserve"> </v>
      </c>
      <c r="I157" s="41"/>
      <c r="K157" s="7" t="str">
        <f t="shared" si="19"/>
        <v xml:space="preserve"> </v>
      </c>
      <c r="L157" s="7" t="str">
        <f t="shared" si="20"/>
        <v xml:space="preserve"> </v>
      </c>
      <c r="M157" s="7" t="str">
        <f t="shared" si="21"/>
        <v xml:space="preserve"> </v>
      </c>
    </row>
    <row r="158" spans="1:13">
      <c r="A158" s="71" t="str">
        <f>C147</f>
        <v>Wolverhampton</v>
      </c>
      <c r="B158" s="15" t="s">
        <v>4</v>
      </c>
      <c r="C158" s="74" t="str">
        <f>A152</f>
        <v>Stoke</v>
      </c>
      <c r="D158" s="16"/>
      <c r="E158" s="57"/>
      <c r="F158" s="17"/>
      <c r="G158" s="60"/>
      <c r="H158" s="18" t="str">
        <f t="shared" si="24"/>
        <v xml:space="preserve"> </v>
      </c>
      <c r="I158" s="41"/>
      <c r="K158" s="7" t="str">
        <f t="shared" si="19"/>
        <v xml:space="preserve"> </v>
      </c>
      <c r="L158" s="7" t="str">
        <f t="shared" si="20"/>
        <v xml:space="preserve"> </v>
      </c>
      <c r="M158" s="7" t="str">
        <f t="shared" si="21"/>
        <v xml:space="preserve"> </v>
      </c>
    </row>
    <row r="159" spans="1:13">
      <c r="A159" s="71" t="str">
        <f>C150</f>
        <v>Wigan</v>
      </c>
      <c r="B159" s="15" t="s">
        <v>4</v>
      </c>
      <c r="C159" s="74" t="str">
        <f>A153</f>
        <v>Chelsea</v>
      </c>
      <c r="D159" s="16"/>
      <c r="E159" s="57"/>
      <c r="F159" s="17"/>
      <c r="G159" s="60"/>
      <c r="H159" s="18" t="str">
        <f t="shared" si="24"/>
        <v xml:space="preserve"> </v>
      </c>
      <c r="I159" s="41"/>
      <c r="K159" s="7" t="str">
        <f t="shared" si="19"/>
        <v xml:space="preserve"> </v>
      </c>
      <c r="L159" s="7" t="str">
        <f t="shared" si="20"/>
        <v xml:space="preserve"> </v>
      </c>
      <c r="M159" s="7" t="str">
        <f t="shared" si="21"/>
        <v xml:space="preserve"> </v>
      </c>
    </row>
    <row r="160" spans="1:13">
      <c r="A160" s="71" t="str">
        <f>C146</f>
        <v>QPR</v>
      </c>
      <c r="B160" s="15" t="s">
        <v>4</v>
      </c>
      <c r="C160" s="74" t="str">
        <f>A147</f>
        <v>Manchester United</v>
      </c>
      <c r="D160" s="16"/>
      <c r="E160" s="57"/>
      <c r="F160" s="17"/>
      <c r="G160" s="60"/>
      <c r="H160" s="18" t="str">
        <f t="shared" si="24"/>
        <v xml:space="preserve"> </v>
      </c>
      <c r="I160" s="41"/>
      <c r="K160" s="7" t="str">
        <f t="shared" si="19"/>
        <v xml:space="preserve"> </v>
      </c>
      <c r="L160" s="7" t="str">
        <f t="shared" si="20"/>
        <v xml:space="preserve"> </v>
      </c>
      <c r="M160" s="7" t="str">
        <f t="shared" si="21"/>
        <v xml:space="preserve"> </v>
      </c>
    </row>
    <row r="161" spans="1:13">
      <c r="A161" s="71" t="str">
        <f>C145</f>
        <v>Aston Villa</v>
      </c>
      <c r="B161" s="15" t="s">
        <v>4</v>
      </c>
      <c r="C161" s="74" t="str">
        <f>A146</f>
        <v>Liverpool</v>
      </c>
      <c r="D161" s="16"/>
      <c r="E161" s="57"/>
      <c r="F161" s="17"/>
      <c r="G161" s="60"/>
      <c r="H161" s="18" t="str">
        <f t="shared" si="24"/>
        <v xml:space="preserve"> </v>
      </c>
      <c r="I161" s="41"/>
      <c r="K161" s="7" t="str">
        <f t="shared" si="19"/>
        <v xml:space="preserve"> </v>
      </c>
      <c r="L161" s="7" t="str">
        <f t="shared" si="20"/>
        <v xml:space="preserve"> </v>
      </c>
      <c r="M161" s="7" t="str">
        <f t="shared" si="21"/>
        <v xml:space="preserve"> </v>
      </c>
    </row>
    <row r="162" spans="1:13">
      <c r="A162" s="71" t="str">
        <f>C152</f>
        <v>Tottenham</v>
      </c>
      <c r="B162" s="15" t="s">
        <v>4</v>
      </c>
      <c r="C162" s="74" t="str">
        <f>A151</f>
        <v>Sunderland</v>
      </c>
      <c r="D162" s="16"/>
      <c r="E162" s="57"/>
      <c r="F162" s="17"/>
      <c r="G162" s="60"/>
      <c r="H162" s="18" t="str">
        <f t="shared" si="24"/>
        <v xml:space="preserve"> </v>
      </c>
      <c r="I162" s="41"/>
      <c r="K162" s="7" t="str">
        <f t="shared" si="19"/>
        <v xml:space="preserve"> </v>
      </c>
      <c r="L162" s="7" t="str">
        <f t="shared" si="20"/>
        <v xml:space="preserve"> </v>
      </c>
      <c r="M162" s="7" t="str">
        <f t="shared" si="21"/>
        <v xml:space="preserve"> </v>
      </c>
    </row>
    <row r="163" spans="1:13" ht="13.5" thickBot="1">
      <c r="A163" s="72" t="str">
        <f>C153</f>
        <v>Manchester City</v>
      </c>
      <c r="B163" s="19" t="s">
        <v>4</v>
      </c>
      <c r="C163" s="75" t="str">
        <f>A144</f>
        <v>Arsenal</v>
      </c>
      <c r="D163" s="20"/>
      <c r="E163" s="58"/>
      <c r="F163" s="21"/>
      <c r="G163" s="61"/>
      <c r="H163" s="22" t="str">
        <f t="shared" si="24"/>
        <v xml:space="preserve"> </v>
      </c>
      <c r="I163" s="41"/>
      <c r="K163" s="7" t="str">
        <f t="shared" si="19"/>
        <v xml:space="preserve"> </v>
      </c>
      <c r="L163" s="7" t="str">
        <f t="shared" si="20"/>
        <v xml:space="preserve"> </v>
      </c>
      <c r="M163" s="7" t="str">
        <f t="shared" si="21"/>
        <v xml:space="preserve"> </v>
      </c>
    </row>
    <row r="164" spans="1:13">
      <c r="A164" s="70" t="str">
        <f>A158</f>
        <v>Wolverhampton</v>
      </c>
      <c r="B164" s="11" t="s">
        <v>4</v>
      </c>
      <c r="C164" s="73" t="str">
        <f>C155</f>
        <v>Norwich City</v>
      </c>
      <c r="D164" s="12"/>
      <c r="E164" s="56"/>
      <c r="F164" s="13"/>
      <c r="G164" s="59"/>
      <c r="H164" s="14" t="str">
        <f>IF(E164=""," ",IF(E164-G164&gt;0,1,IF(E164-G164&lt;0,2,"x")))</f>
        <v xml:space="preserve"> </v>
      </c>
      <c r="I164" s="41">
        <v>17</v>
      </c>
      <c r="K164" s="7" t="str">
        <f t="shared" si="19"/>
        <v xml:space="preserve"> </v>
      </c>
      <c r="L164" s="7" t="str">
        <f t="shared" si="20"/>
        <v xml:space="preserve"> </v>
      </c>
      <c r="M164" s="7" t="str">
        <f t="shared" si="21"/>
        <v xml:space="preserve"> </v>
      </c>
    </row>
    <row r="165" spans="1:13">
      <c r="A165" s="71" t="str">
        <f>A154</f>
        <v>Blackburn</v>
      </c>
      <c r="B165" s="15" t="s">
        <v>4</v>
      </c>
      <c r="C165" s="74" t="str">
        <f>C156</f>
        <v>Bolton</v>
      </c>
      <c r="D165" s="16"/>
      <c r="E165" s="57"/>
      <c r="F165" s="17"/>
      <c r="G165" s="60"/>
      <c r="H165" s="18" t="str">
        <f t="shared" ref="H165:H173" si="25">IF(E165=""," ",IF(E165-G165&gt;0,1,IF(E165-G165&lt;0,2,"x")))</f>
        <v xml:space="preserve"> </v>
      </c>
      <c r="I165" s="41"/>
      <c r="K165" s="7" t="str">
        <f t="shared" si="19"/>
        <v xml:space="preserve"> </v>
      </c>
      <c r="L165" s="7" t="str">
        <f t="shared" si="20"/>
        <v xml:space="preserve"> </v>
      </c>
      <c r="M165" s="7" t="str">
        <f t="shared" si="21"/>
        <v xml:space="preserve"> </v>
      </c>
    </row>
    <row r="166" spans="1:13">
      <c r="A166" s="71" t="str">
        <f>A161</f>
        <v>Aston Villa</v>
      </c>
      <c r="B166" s="15" t="s">
        <v>4</v>
      </c>
      <c r="C166" s="74" t="str">
        <f>C163</f>
        <v>Arsenal</v>
      </c>
      <c r="D166" s="16"/>
      <c r="E166" s="57"/>
      <c r="F166" s="17"/>
      <c r="G166" s="60"/>
      <c r="H166" s="18" t="str">
        <f t="shared" si="25"/>
        <v xml:space="preserve"> </v>
      </c>
      <c r="I166" s="41"/>
      <c r="K166" s="7" t="str">
        <f t="shared" si="19"/>
        <v xml:space="preserve"> </v>
      </c>
      <c r="L166" s="7" t="str">
        <f t="shared" si="20"/>
        <v xml:space="preserve"> </v>
      </c>
      <c r="M166" s="7" t="str">
        <f t="shared" si="21"/>
        <v xml:space="preserve"> </v>
      </c>
    </row>
    <row r="167" spans="1:13">
      <c r="A167" s="71" t="str">
        <f>A163</f>
        <v>Manchester City</v>
      </c>
      <c r="B167" s="15" t="s">
        <v>4</v>
      </c>
      <c r="C167" s="74" t="str">
        <f>C158</f>
        <v>Stoke</v>
      </c>
      <c r="D167" s="16"/>
      <c r="E167" s="57"/>
      <c r="F167" s="17"/>
      <c r="G167" s="60"/>
      <c r="H167" s="18" t="str">
        <f t="shared" si="25"/>
        <v xml:space="preserve"> </v>
      </c>
      <c r="I167" s="41"/>
      <c r="K167" s="7" t="str">
        <f t="shared" si="19"/>
        <v xml:space="preserve"> </v>
      </c>
      <c r="L167" s="7" t="str">
        <f t="shared" si="20"/>
        <v xml:space="preserve"> </v>
      </c>
      <c r="M167" s="7" t="str">
        <f t="shared" si="21"/>
        <v xml:space="preserve"> </v>
      </c>
    </row>
    <row r="168" spans="1:13">
      <c r="A168" s="71" t="str">
        <f>A157</f>
        <v>Newcastle</v>
      </c>
      <c r="B168" s="15" t="s">
        <v>4</v>
      </c>
      <c r="C168" s="74" t="str">
        <f>C154</f>
        <v>WBA</v>
      </c>
      <c r="D168" s="16"/>
      <c r="E168" s="57"/>
      <c r="F168" s="17"/>
      <c r="G168" s="60"/>
      <c r="H168" s="18" t="str">
        <f t="shared" si="25"/>
        <v xml:space="preserve"> </v>
      </c>
      <c r="I168" s="41"/>
      <c r="K168" s="7" t="str">
        <f t="shared" si="19"/>
        <v xml:space="preserve"> </v>
      </c>
      <c r="L168" s="7" t="str">
        <f t="shared" si="20"/>
        <v xml:space="preserve"> </v>
      </c>
      <c r="M168" s="7" t="str">
        <f t="shared" si="21"/>
        <v xml:space="preserve"> </v>
      </c>
    </row>
    <row r="169" spans="1:13">
      <c r="A169" s="71" t="str">
        <f>A155</f>
        <v>Everton</v>
      </c>
      <c r="B169" s="15" t="s">
        <v>4</v>
      </c>
      <c r="C169" s="74" t="str">
        <f>C157</f>
        <v>Swansea City</v>
      </c>
      <c r="D169" s="16"/>
      <c r="E169" s="57"/>
      <c r="F169" s="17"/>
      <c r="G169" s="60"/>
      <c r="H169" s="18" t="str">
        <f t="shared" si="25"/>
        <v xml:space="preserve"> </v>
      </c>
      <c r="I169" s="41"/>
      <c r="K169" s="7" t="str">
        <f t="shared" si="19"/>
        <v xml:space="preserve"> </v>
      </c>
      <c r="L169" s="7" t="str">
        <f t="shared" si="20"/>
        <v xml:space="preserve"> </v>
      </c>
      <c r="M169" s="7" t="str">
        <f t="shared" si="21"/>
        <v xml:space="preserve"> </v>
      </c>
    </row>
    <row r="170" spans="1:13">
      <c r="A170" s="71" t="str">
        <f>A156</f>
        <v>Fulham</v>
      </c>
      <c r="B170" s="15" t="s">
        <v>4</v>
      </c>
      <c r="C170" s="74" t="str">
        <f>C160</f>
        <v>Manchester United</v>
      </c>
      <c r="D170" s="16"/>
      <c r="E170" s="57"/>
      <c r="F170" s="17"/>
      <c r="G170" s="60"/>
      <c r="H170" s="18" t="str">
        <f t="shared" si="25"/>
        <v xml:space="preserve"> </v>
      </c>
      <c r="I170" s="41"/>
      <c r="K170" s="7" t="str">
        <f t="shared" si="19"/>
        <v xml:space="preserve"> </v>
      </c>
      <c r="L170" s="7" t="str">
        <f t="shared" si="20"/>
        <v xml:space="preserve"> </v>
      </c>
      <c r="M170" s="7" t="str">
        <f t="shared" si="21"/>
        <v xml:space="preserve"> </v>
      </c>
    </row>
    <row r="171" spans="1:13">
      <c r="A171" s="71" t="str">
        <f>A160</f>
        <v>QPR</v>
      </c>
      <c r="B171" s="15" t="s">
        <v>4</v>
      </c>
      <c r="C171" s="74" t="str">
        <f>C162</f>
        <v>Sunderland</v>
      </c>
      <c r="D171" s="16"/>
      <c r="E171" s="57"/>
      <c r="F171" s="17"/>
      <c r="G171" s="60"/>
      <c r="H171" s="18" t="str">
        <f t="shared" si="25"/>
        <v xml:space="preserve"> </v>
      </c>
      <c r="I171" s="41"/>
      <c r="K171" s="7" t="str">
        <f t="shared" si="19"/>
        <v xml:space="preserve"> </v>
      </c>
      <c r="L171" s="7" t="str">
        <f t="shared" si="20"/>
        <v xml:space="preserve"> </v>
      </c>
      <c r="M171" s="7" t="str">
        <f t="shared" si="21"/>
        <v xml:space="preserve"> </v>
      </c>
    </row>
    <row r="172" spans="1:13">
      <c r="A172" s="71" t="str">
        <f>A159</f>
        <v>Wigan</v>
      </c>
      <c r="B172" s="15" t="s">
        <v>4</v>
      </c>
      <c r="C172" s="74" t="str">
        <f>C161</f>
        <v>Liverpool</v>
      </c>
      <c r="D172" s="16"/>
      <c r="E172" s="57"/>
      <c r="F172" s="17"/>
      <c r="G172" s="60"/>
      <c r="H172" s="18" t="str">
        <f t="shared" si="25"/>
        <v xml:space="preserve"> </v>
      </c>
      <c r="I172" s="41"/>
      <c r="K172" s="7" t="str">
        <f t="shared" si="19"/>
        <v xml:space="preserve"> </v>
      </c>
      <c r="L172" s="7" t="str">
        <f t="shared" si="20"/>
        <v xml:space="preserve"> </v>
      </c>
      <c r="M172" s="7" t="str">
        <f t="shared" si="21"/>
        <v xml:space="preserve"> </v>
      </c>
    </row>
    <row r="173" spans="1:13" ht="13.5" thickBot="1">
      <c r="A173" s="72" t="str">
        <f>A162</f>
        <v>Tottenham</v>
      </c>
      <c r="B173" s="19" t="s">
        <v>4</v>
      </c>
      <c r="C173" s="75" t="str">
        <f>C159</f>
        <v>Chelsea</v>
      </c>
      <c r="D173" s="20"/>
      <c r="E173" s="58"/>
      <c r="F173" s="21"/>
      <c r="G173" s="61"/>
      <c r="H173" s="22" t="str">
        <f t="shared" si="25"/>
        <v xml:space="preserve"> </v>
      </c>
      <c r="I173" s="41"/>
      <c r="K173" s="7" t="str">
        <f t="shared" si="19"/>
        <v xml:space="preserve"> </v>
      </c>
      <c r="L173" s="7" t="str">
        <f t="shared" si="20"/>
        <v xml:space="preserve"> </v>
      </c>
      <c r="M173" s="7" t="str">
        <f t="shared" si="21"/>
        <v xml:space="preserve"> </v>
      </c>
    </row>
    <row r="174" spans="1:13">
      <c r="A174" s="70"/>
      <c r="B174" s="11" t="s">
        <v>4</v>
      </c>
      <c r="C174" s="73"/>
      <c r="D174" s="12"/>
      <c r="E174" s="56"/>
      <c r="F174" s="13"/>
      <c r="G174" s="59"/>
      <c r="H174" s="14" t="str">
        <f>IF(E174=""," ",IF(E174-G174&gt;0,1,IF(E174-G174&lt;0,2,"x")))</f>
        <v xml:space="preserve"> </v>
      </c>
      <c r="I174" s="41">
        <v>18</v>
      </c>
      <c r="K174" s="7" t="str">
        <f t="shared" si="19"/>
        <v xml:space="preserve"> </v>
      </c>
      <c r="L174" s="7" t="str">
        <f t="shared" si="20"/>
        <v xml:space="preserve"> </v>
      </c>
      <c r="M174" s="7" t="str">
        <f t="shared" si="21"/>
        <v xml:space="preserve"> </v>
      </c>
    </row>
    <row r="175" spans="1:13">
      <c r="A175" s="71"/>
      <c r="B175" s="15" t="s">
        <v>4</v>
      </c>
      <c r="C175" s="74"/>
      <c r="D175" s="16"/>
      <c r="E175" s="57"/>
      <c r="F175" s="17"/>
      <c r="G175" s="60"/>
      <c r="H175" s="18" t="str">
        <f t="shared" ref="H175:H183" si="26">IF(E175=""," ",IF(E175-G175&gt;0,1,IF(E175-G175&lt;0,2,"x")))</f>
        <v xml:space="preserve"> </v>
      </c>
      <c r="I175" s="41"/>
      <c r="K175" s="7" t="str">
        <f t="shared" si="19"/>
        <v xml:space="preserve"> </v>
      </c>
      <c r="L175" s="7" t="str">
        <f t="shared" si="20"/>
        <v xml:space="preserve"> </v>
      </c>
      <c r="M175" s="7" t="str">
        <f t="shared" si="21"/>
        <v xml:space="preserve"> </v>
      </c>
    </row>
    <row r="176" spans="1:13">
      <c r="A176" s="71"/>
      <c r="B176" s="15" t="s">
        <v>4</v>
      </c>
      <c r="C176" s="74"/>
      <c r="D176" s="16"/>
      <c r="E176" s="57"/>
      <c r="F176" s="17"/>
      <c r="G176" s="60"/>
      <c r="H176" s="18" t="str">
        <f t="shared" si="26"/>
        <v xml:space="preserve"> </v>
      </c>
      <c r="I176" s="41"/>
      <c r="K176" s="7" t="str">
        <f t="shared" si="19"/>
        <v xml:space="preserve"> </v>
      </c>
      <c r="L176" s="7" t="str">
        <f t="shared" si="20"/>
        <v xml:space="preserve"> </v>
      </c>
      <c r="M176" s="7" t="str">
        <f t="shared" si="21"/>
        <v xml:space="preserve"> </v>
      </c>
    </row>
    <row r="177" spans="1:13">
      <c r="A177" s="71"/>
      <c r="B177" s="15" t="s">
        <v>4</v>
      </c>
      <c r="C177" s="74"/>
      <c r="D177" s="16"/>
      <c r="E177" s="57"/>
      <c r="F177" s="17"/>
      <c r="G177" s="60"/>
      <c r="H177" s="18" t="str">
        <f t="shared" si="26"/>
        <v xml:space="preserve"> </v>
      </c>
      <c r="I177" s="41"/>
      <c r="K177" s="7" t="str">
        <f t="shared" si="19"/>
        <v xml:space="preserve"> </v>
      </c>
      <c r="L177" s="7" t="str">
        <f t="shared" si="20"/>
        <v xml:space="preserve"> </v>
      </c>
      <c r="M177" s="7" t="str">
        <f t="shared" si="21"/>
        <v xml:space="preserve"> </v>
      </c>
    </row>
    <row r="178" spans="1:13">
      <c r="A178" s="71"/>
      <c r="B178" s="15" t="s">
        <v>4</v>
      </c>
      <c r="C178" s="74"/>
      <c r="D178" s="16"/>
      <c r="E178" s="57"/>
      <c r="F178" s="17"/>
      <c r="G178" s="60"/>
      <c r="H178" s="18" t="str">
        <f t="shared" si="26"/>
        <v xml:space="preserve"> </v>
      </c>
      <c r="I178" s="41"/>
      <c r="K178" s="7" t="str">
        <f t="shared" si="19"/>
        <v xml:space="preserve"> </v>
      </c>
      <c r="L178" s="7" t="str">
        <f t="shared" si="20"/>
        <v xml:space="preserve"> </v>
      </c>
      <c r="M178" s="7" t="str">
        <f t="shared" si="21"/>
        <v xml:space="preserve"> </v>
      </c>
    </row>
    <row r="179" spans="1:13">
      <c r="A179" s="71"/>
      <c r="B179" s="15" t="s">
        <v>4</v>
      </c>
      <c r="C179" s="74"/>
      <c r="D179" s="16"/>
      <c r="E179" s="57"/>
      <c r="F179" s="17"/>
      <c r="G179" s="60"/>
      <c r="H179" s="18" t="str">
        <f t="shared" si="26"/>
        <v xml:space="preserve"> </v>
      </c>
      <c r="I179" s="41"/>
      <c r="K179" s="7" t="str">
        <f t="shared" si="19"/>
        <v xml:space="preserve"> </v>
      </c>
      <c r="L179" s="7" t="str">
        <f t="shared" si="20"/>
        <v xml:space="preserve"> </v>
      </c>
      <c r="M179" s="7" t="str">
        <f t="shared" si="21"/>
        <v xml:space="preserve"> </v>
      </c>
    </row>
    <row r="180" spans="1:13">
      <c r="A180" s="71"/>
      <c r="B180" s="15" t="s">
        <v>4</v>
      </c>
      <c r="C180" s="74"/>
      <c r="D180" s="16"/>
      <c r="E180" s="57"/>
      <c r="F180" s="17"/>
      <c r="G180" s="60"/>
      <c r="H180" s="18" t="str">
        <f t="shared" si="26"/>
        <v xml:space="preserve"> </v>
      </c>
      <c r="I180" s="41"/>
      <c r="K180" s="7" t="str">
        <f t="shared" si="19"/>
        <v xml:space="preserve"> </v>
      </c>
      <c r="L180" s="7" t="str">
        <f t="shared" si="20"/>
        <v xml:space="preserve"> </v>
      </c>
      <c r="M180" s="7" t="str">
        <f t="shared" si="21"/>
        <v xml:space="preserve"> </v>
      </c>
    </row>
    <row r="181" spans="1:13">
      <c r="A181" s="71"/>
      <c r="B181" s="15" t="s">
        <v>4</v>
      </c>
      <c r="C181" s="74"/>
      <c r="D181" s="16"/>
      <c r="E181" s="57"/>
      <c r="F181" s="17"/>
      <c r="G181" s="60"/>
      <c r="H181" s="18" t="str">
        <f t="shared" si="26"/>
        <v xml:space="preserve"> </v>
      </c>
      <c r="I181" s="41"/>
      <c r="K181" s="7" t="str">
        <f t="shared" si="19"/>
        <v xml:space="preserve"> </v>
      </c>
      <c r="L181" s="7" t="str">
        <f t="shared" si="20"/>
        <v xml:space="preserve"> </v>
      </c>
      <c r="M181" s="7" t="str">
        <f t="shared" si="21"/>
        <v xml:space="preserve"> </v>
      </c>
    </row>
    <row r="182" spans="1:13">
      <c r="A182" s="71"/>
      <c r="B182" s="15" t="s">
        <v>4</v>
      </c>
      <c r="C182" s="74"/>
      <c r="D182" s="16"/>
      <c r="E182" s="57"/>
      <c r="F182" s="17"/>
      <c r="G182" s="60"/>
      <c r="H182" s="18" t="str">
        <f t="shared" si="26"/>
        <v xml:space="preserve"> </v>
      </c>
      <c r="I182" s="41"/>
      <c r="K182" s="7" t="str">
        <f t="shared" si="19"/>
        <v xml:space="preserve"> </v>
      </c>
      <c r="L182" s="7" t="str">
        <f t="shared" si="20"/>
        <v xml:space="preserve"> </v>
      </c>
      <c r="M182" s="7" t="str">
        <f t="shared" si="21"/>
        <v xml:space="preserve"> </v>
      </c>
    </row>
    <row r="183" spans="1:13" ht="13.5" thickBot="1">
      <c r="A183" s="72"/>
      <c r="B183" s="19" t="s">
        <v>4</v>
      </c>
      <c r="C183" s="75"/>
      <c r="D183" s="20"/>
      <c r="E183" s="58"/>
      <c r="F183" s="21"/>
      <c r="G183" s="61"/>
      <c r="H183" s="22" t="str">
        <f t="shared" si="26"/>
        <v xml:space="preserve"> </v>
      </c>
      <c r="I183" s="41"/>
      <c r="K183" s="7" t="str">
        <f t="shared" si="19"/>
        <v xml:space="preserve"> </v>
      </c>
      <c r="L183" s="7" t="str">
        <f t="shared" si="20"/>
        <v xml:space="preserve"> </v>
      </c>
      <c r="M183" s="7" t="str">
        <f t="shared" si="21"/>
        <v xml:space="preserve"> </v>
      </c>
    </row>
    <row r="184" spans="1:13">
      <c r="A184" s="70"/>
      <c r="B184" s="11" t="s">
        <v>4</v>
      </c>
      <c r="C184" s="73"/>
      <c r="D184" s="12"/>
      <c r="E184" s="56"/>
      <c r="F184" s="13"/>
      <c r="G184" s="59"/>
      <c r="H184" s="14" t="str">
        <f>IF(E184=""," ",IF(E184-G184&gt;0,1,IF(E184-G184&lt;0,2,"x")))</f>
        <v xml:space="preserve"> </v>
      </c>
      <c r="I184" s="41">
        <v>19</v>
      </c>
      <c r="K184" s="7" t="str">
        <f t="shared" si="19"/>
        <v xml:space="preserve"> </v>
      </c>
      <c r="L184" s="7" t="str">
        <f t="shared" si="20"/>
        <v xml:space="preserve"> </v>
      </c>
      <c r="M184" s="7" t="str">
        <f t="shared" si="21"/>
        <v xml:space="preserve"> </v>
      </c>
    </row>
    <row r="185" spans="1:13">
      <c r="A185" s="71"/>
      <c r="B185" s="15" t="s">
        <v>4</v>
      </c>
      <c r="C185" s="74"/>
      <c r="D185" s="16"/>
      <c r="E185" s="57"/>
      <c r="F185" s="17"/>
      <c r="G185" s="60"/>
      <c r="H185" s="18" t="str">
        <f t="shared" ref="H185:H193" si="27">IF(E185=""," ",IF(E185-G185&gt;0,1,IF(E185-G185&lt;0,2,"x")))</f>
        <v xml:space="preserve"> </v>
      </c>
      <c r="I185" s="41"/>
      <c r="K185" s="7" t="str">
        <f t="shared" si="19"/>
        <v xml:space="preserve"> </v>
      </c>
      <c r="L185" s="7" t="str">
        <f t="shared" si="20"/>
        <v xml:space="preserve"> </v>
      </c>
      <c r="M185" s="7" t="str">
        <f t="shared" si="21"/>
        <v xml:space="preserve"> </v>
      </c>
    </row>
    <row r="186" spans="1:13">
      <c r="A186" s="71"/>
      <c r="B186" s="15" t="s">
        <v>4</v>
      </c>
      <c r="C186" s="74"/>
      <c r="D186" s="16"/>
      <c r="E186" s="57"/>
      <c r="F186" s="17"/>
      <c r="G186" s="60"/>
      <c r="H186" s="18" t="str">
        <f t="shared" si="27"/>
        <v xml:space="preserve"> </v>
      </c>
      <c r="I186" s="41"/>
      <c r="K186" s="7" t="str">
        <f t="shared" si="19"/>
        <v xml:space="preserve"> </v>
      </c>
      <c r="L186" s="7" t="str">
        <f t="shared" si="20"/>
        <v xml:space="preserve"> </v>
      </c>
      <c r="M186" s="7" t="str">
        <f t="shared" si="21"/>
        <v xml:space="preserve"> </v>
      </c>
    </row>
    <row r="187" spans="1:13">
      <c r="A187" s="71"/>
      <c r="B187" s="15" t="s">
        <v>4</v>
      </c>
      <c r="C187" s="74"/>
      <c r="D187" s="16"/>
      <c r="E187" s="57"/>
      <c r="F187" s="17"/>
      <c r="G187" s="60"/>
      <c r="H187" s="18" t="str">
        <f t="shared" si="27"/>
        <v xml:space="preserve"> </v>
      </c>
      <c r="I187" s="41"/>
      <c r="K187" s="7" t="str">
        <f t="shared" si="19"/>
        <v xml:space="preserve"> </v>
      </c>
      <c r="L187" s="7" t="str">
        <f t="shared" si="20"/>
        <v xml:space="preserve"> </v>
      </c>
      <c r="M187" s="7" t="str">
        <f t="shared" si="21"/>
        <v xml:space="preserve"> </v>
      </c>
    </row>
    <row r="188" spans="1:13">
      <c r="A188" s="71"/>
      <c r="B188" s="15" t="s">
        <v>4</v>
      </c>
      <c r="C188" s="74"/>
      <c r="D188" s="16"/>
      <c r="E188" s="57"/>
      <c r="F188" s="17"/>
      <c r="G188" s="60"/>
      <c r="H188" s="18" t="str">
        <f t="shared" si="27"/>
        <v xml:space="preserve"> </v>
      </c>
      <c r="I188" s="41"/>
      <c r="K188" s="7" t="str">
        <f t="shared" si="19"/>
        <v xml:space="preserve"> </v>
      </c>
      <c r="L188" s="7" t="str">
        <f t="shared" si="20"/>
        <v xml:space="preserve"> </v>
      </c>
      <c r="M188" s="7" t="str">
        <f t="shared" si="21"/>
        <v xml:space="preserve"> </v>
      </c>
    </row>
    <row r="189" spans="1:13">
      <c r="A189" s="71"/>
      <c r="B189" s="15" t="s">
        <v>4</v>
      </c>
      <c r="C189" s="74"/>
      <c r="D189" s="16"/>
      <c r="E189" s="57"/>
      <c r="F189" s="17"/>
      <c r="G189" s="60"/>
      <c r="H189" s="18" t="str">
        <f t="shared" si="27"/>
        <v xml:space="preserve"> </v>
      </c>
      <c r="I189" s="41"/>
      <c r="K189" s="7" t="str">
        <f t="shared" si="19"/>
        <v xml:space="preserve"> </v>
      </c>
      <c r="L189" s="7" t="str">
        <f t="shared" si="20"/>
        <v xml:space="preserve"> </v>
      </c>
      <c r="M189" s="7" t="str">
        <f t="shared" si="21"/>
        <v xml:space="preserve"> </v>
      </c>
    </row>
    <row r="190" spans="1:13">
      <c r="A190" s="71"/>
      <c r="B190" s="15" t="s">
        <v>4</v>
      </c>
      <c r="C190" s="74"/>
      <c r="D190" s="16"/>
      <c r="E190" s="57"/>
      <c r="F190" s="17"/>
      <c r="G190" s="60"/>
      <c r="H190" s="18" t="str">
        <f t="shared" si="27"/>
        <v xml:space="preserve"> </v>
      </c>
      <c r="I190" s="41"/>
      <c r="K190" s="7" t="str">
        <f t="shared" si="19"/>
        <v xml:space="preserve"> </v>
      </c>
      <c r="L190" s="7" t="str">
        <f t="shared" si="20"/>
        <v xml:space="preserve"> </v>
      </c>
      <c r="M190" s="7" t="str">
        <f t="shared" si="21"/>
        <v xml:space="preserve"> </v>
      </c>
    </row>
    <row r="191" spans="1:13">
      <c r="A191" s="71"/>
      <c r="B191" s="15" t="s">
        <v>4</v>
      </c>
      <c r="C191" s="74"/>
      <c r="D191" s="16"/>
      <c r="E191" s="57"/>
      <c r="F191" s="17"/>
      <c r="G191" s="60"/>
      <c r="H191" s="18" t="str">
        <f t="shared" si="27"/>
        <v xml:space="preserve"> </v>
      </c>
      <c r="I191" s="41"/>
      <c r="K191" s="7" t="str">
        <f t="shared" si="19"/>
        <v xml:space="preserve"> </v>
      </c>
      <c r="L191" s="7" t="str">
        <f t="shared" si="20"/>
        <v xml:space="preserve"> </v>
      </c>
      <c r="M191" s="7" t="str">
        <f t="shared" si="21"/>
        <v xml:space="preserve"> </v>
      </c>
    </row>
    <row r="192" spans="1:13">
      <c r="A192" s="71"/>
      <c r="B192" s="15" t="s">
        <v>4</v>
      </c>
      <c r="C192" s="74"/>
      <c r="D192" s="16"/>
      <c r="E192" s="57"/>
      <c r="F192" s="17"/>
      <c r="G192" s="60"/>
      <c r="H192" s="18" t="str">
        <f t="shared" si="27"/>
        <v xml:space="preserve"> </v>
      </c>
      <c r="I192" s="41"/>
      <c r="K192" s="7" t="str">
        <f t="shared" si="19"/>
        <v xml:space="preserve"> </v>
      </c>
      <c r="L192" s="7" t="str">
        <f t="shared" si="20"/>
        <v xml:space="preserve"> </v>
      </c>
      <c r="M192" s="7" t="str">
        <f t="shared" si="21"/>
        <v xml:space="preserve"> </v>
      </c>
    </row>
    <row r="193" spans="1:13" ht="13.5" thickBot="1">
      <c r="A193" s="72"/>
      <c r="B193" s="19" t="s">
        <v>4</v>
      </c>
      <c r="C193" s="75"/>
      <c r="D193" s="20"/>
      <c r="E193" s="58"/>
      <c r="F193" s="21"/>
      <c r="G193" s="61"/>
      <c r="H193" s="22" t="str">
        <f t="shared" si="27"/>
        <v xml:space="preserve"> </v>
      </c>
      <c r="I193" s="41"/>
      <c r="K193" s="7" t="str">
        <f t="shared" si="19"/>
        <v xml:space="preserve"> </v>
      </c>
      <c r="L193" s="7" t="str">
        <f t="shared" si="20"/>
        <v xml:space="preserve"> </v>
      </c>
      <c r="M193" s="7" t="str">
        <f t="shared" si="21"/>
        <v xml:space="preserve"> </v>
      </c>
    </row>
    <row r="194" spans="1:13">
      <c r="A194" s="70"/>
      <c r="B194" s="11" t="s">
        <v>4</v>
      </c>
      <c r="C194" s="73"/>
      <c r="D194" s="12"/>
      <c r="E194" s="56"/>
      <c r="F194" s="13"/>
      <c r="G194" s="59"/>
      <c r="H194" s="14" t="str">
        <f>IF(E194=""," ",IF(E194-G194&gt;0,1,IF(E194-G194&lt;0,2,"x")))</f>
        <v xml:space="preserve"> </v>
      </c>
      <c r="I194" s="41">
        <v>20</v>
      </c>
      <c r="K194" s="7" t="str">
        <f t="shared" si="19"/>
        <v xml:space="preserve"> </v>
      </c>
      <c r="L194" s="7" t="str">
        <f t="shared" si="20"/>
        <v xml:space="preserve"> </v>
      </c>
      <c r="M194" s="7" t="str">
        <f t="shared" si="21"/>
        <v xml:space="preserve"> </v>
      </c>
    </row>
    <row r="195" spans="1:13">
      <c r="A195" s="71"/>
      <c r="B195" s="15" t="s">
        <v>4</v>
      </c>
      <c r="C195" s="74"/>
      <c r="D195" s="16"/>
      <c r="E195" s="57"/>
      <c r="F195" s="17"/>
      <c r="G195" s="60"/>
      <c r="H195" s="18" t="str">
        <f t="shared" ref="H195:H203" si="28">IF(E195=""," ",IF(E195-G195&gt;0,1,IF(E195-G195&lt;0,2,"x")))</f>
        <v xml:space="preserve"> </v>
      </c>
      <c r="I195" s="41"/>
      <c r="K195" s="7" t="str">
        <f t="shared" si="19"/>
        <v xml:space="preserve"> </v>
      </c>
      <c r="L195" s="7" t="str">
        <f t="shared" si="20"/>
        <v xml:space="preserve"> </v>
      </c>
      <c r="M195" s="7" t="str">
        <f t="shared" si="21"/>
        <v xml:space="preserve"> </v>
      </c>
    </row>
    <row r="196" spans="1:13">
      <c r="A196" s="71"/>
      <c r="B196" s="15" t="s">
        <v>4</v>
      </c>
      <c r="C196" s="74"/>
      <c r="D196" s="16"/>
      <c r="E196" s="57"/>
      <c r="F196" s="17"/>
      <c r="G196" s="60"/>
      <c r="H196" s="18" t="str">
        <f t="shared" si="28"/>
        <v xml:space="preserve"> </v>
      </c>
      <c r="I196" s="41"/>
      <c r="K196" s="7" t="str">
        <f t="shared" si="19"/>
        <v xml:space="preserve"> </v>
      </c>
      <c r="L196" s="7" t="str">
        <f t="shared" si="20"/>
        <v xml:space="preserve"> </v>
      </c>
      <c r="M196" s="7" t="str">
        <f t="shared" si="21"/>
        <v xml:space="preserve"> </v>
      </c>
    </row>
    <row r="197" spans="1:13">
      <c r="A197" s="71"/>
      <c r="B197" s="15" t="s">
        <v>4</v>
      </c>
      <c r="C197" s="74"/>
      <c r="D197" s="16"/>
      <c r="E197" s="57"/>
      <c r="F197" s="17"/>
      <c r="G197" s="60"/>
      <c r="H197" s="18" t="str">
        <f t="shared" si="28"/>
        <v xml:space="preserve"> </v>
      </c>
      <c r="I197" s="41"/>
      <c r="K197" s="7" t="str">
        <f t="shared" ref="K197:K260" si="29">IF(E197=""," ",IF(E197-G197&gt;0,1,0))</f>
        <v xml:space="preserve"> </v>
      </c>
      <c r="L197" s="7" t="str">
        <f t="shared" ref="L197:L260" si="30">IF(E197=""," ",IF(E197-G197=0,1,0))</f>
        <v xml:space="preserve"> </v>
      </c>
      <c r="M197" s="7" t="str">
        <f t="shared" ref="M197:M260" si="31">IF(E197=""," ",IF(E197-G197&lt;0,1,0))</f>
        <v xml:space="preserve"> </v>
      </c>
    </row>
    <row r="198" spans="1:13">
      <c r="A198" s="71"/>
      <c r="B198" s="15" t="s">
        <v>4</v>
      </c>
      <c r="C198" s="74"/>
      <c r="D198" s="16"/>
      <c r="E198" s="57"/>
      <c r="F198" s="17"/>
      <c r="G198" s="60"/>
      <c r="H198" s="18" t="str">
        <f t="shared" si="28"/>
        <v xml:space="preserve"> </v>
      </c>
      <c r="I198" s="41"/>
      <c r="K198" s="7" t="str">
        <f t="shared" si="29"/>
        <v xml:space="preserve"> </v>
      </c>
      <c r="L198" s="7" t="str">
        <f t="shared" si="30"/>
        <v xml:space="preserve"> </v>
      </c>
      <c r="M198" s="7" t="str">
        <f t="shared" si="31"/>
        <v xml:space="preserve"> </v>
      </c>
    </row>
    <row r="199" spans="1:13">
      <c r="A199" s="71"/>
      <c r="B199" s="15" t="s">
        <v>4</v>
      </c>
      <c r="C199" s="74"/>
      <c r="D199" s="16"/>
      <c r="E199" s="57"/>
      <c r="F199" s="17"/>
      <c r="G199" s="60"/>
      <c r="H199" s="18" t="str">
        <f t="shared" si="28"/>
        <v xml:space="preserve"> </v>
      </c>
      <c r="I199" s="41"/>
      <c r="K199" s="7" t="str">
        <f t="shared" si="29"/>
        <v xml:space="preserve"> </v>
      </c>
      <c r="L199" s="7" t="str">
        <f t="shared" si="30"/>
        <v xml:space="preserve"> </v>
      </c>
      <c r="M199" s="7" t="str">
        <f t="shared" si="31"/>
        <v xml:space="preserve"> </v>
      </c>
    </row>
    <row r="200" spans="1:13">
      <c r="A200" s="71"/>
      <c r="B200" s="15" t="s">
        <v>4</v>
      </c>
      <c r="C200" s="74"/>
      <c r="D200" s="16"/>
      <c r="E200" s="57"/>
      <c r="F200" s="17"/>
      <c r="G200" s="60"/>
      <c r="H200" s="18" t="str">
        <f t="shared" si="28"/>
        <v xml:space="preserve"> </v>
      </c>
      <c r="I200" s="41"/>
      <c r="K200" s="7" t="str">
        <f t="shared" si="29"/>
        <v xml:space="preserve"> </v>
      </c>
      <c r="L200" s="7" t="str">
        <f t="shared" si="30"/>
        <v xml:space="preserve"> </v>
      </c>
      <c r="M200" s="7" t="str">
        <f t="shared" si="31"/>
        <v xml:space="preserve"> </v>
      </c>
    </row>
    <row r="201" spans="1:13">
      <c r="A201" s="71"/>
      <c r="B201" s="15" t="s">
        <v>4</v>
      </c>
      <c r="C201" s="74"/>
      <c r="D201" s="16"/>
      <c r="E201" s="57"/>
      <c r="F201" s="17"/>
      <c r="G201" s="60"/>
      <c r="H201" s="18" t="str">
        <f t="shared" si="28"/>
        <v xml:space="preserve"> </v>
      </c>
      <c r="I201" s="41"/>
      <c r="K201" s="7" t="str">
        <f t="shared" si="29"/>
        <v xml:space="preserve"> </v>
      </c>
      <c r="L201" s="7" t="str">
        <f t="shared" si="30"/>
        <v xml:space="preserve"> </v>
      </c>
      <c r="M201" s="7" t="str">
        <f t="shared" si="31"/>
        <v xml:space="preserve"> </v>
      </c>
    </row>
    <row r="202" spans="1:13">
      <c r="A202" s="71"/>
      <c r="B202" s="15" t="s">
        <v>4</v>
      </c>
      <c r="C202" s="74"/>
      <c r="D202" s="16"/>
      <c r="E202" s="57"/>
      <c r="F202" s="17"/>
      <c r="G202" s="60"/>
      <c r="H202" s="18" t="str">
        <f t="shared" si="28"/>
        <v xml:space="preserve"> </v>
      </c>
      <c r="I202" s="41"/>
      <c r="K202" s="7" t="str">
        <f t="shared" si="29"/>
        <v xml:space="preserve"> </v>
      </c>
      <c r="L202" s="7" t="str">
        <f t="shared" si="30"/>
        <v xml:space="preserve"> </v>
      </c>
      <c r="M202" s="7" t="str">
        <f t="shared" si="31"/>
        <v xml:space="preserve"> </v>
      </c>
    </row>
    <row r="203" spans="1:13" ht="13.5" thickBot="1">
      <c r="A203" s="72"/>
      <c r="B203" s="19" t="s">
        <v>4</v>
      </c>
      <c r="C203" s="75"/>
      <c r="D203" s="20"/>
      <c r="E203" s="58"/>
      <c r="F203" s="21"/>
      <c r="G203" s="61"/>
      <c r="H203" s="22" t="str">
        <f t="shared" si="28"/>
        <v xml:space="preserve"> </v>
      </c>
      <c r="I203" s="41"/>
      <c r="K203" s="7" t="str">
        <f t="shared" si="29"/>
        <v xml:space="preserve"> </v>
      </c>
      <c r="L203" s="7" t="str">
        <f t="shared" si="30"/>
        <v xml:space="preserve"> </v>
      </c>
      <c r="M203" s="7" t="str">
        <f t="shared" si="31"/>
        <v xml:space="preserve"> </v>
      </c>
    </row>
    <row r="204" spans="1:13">
      <c r="A204" s="70"/>
      <c r="B204" s="11" t="s">
        <v>4</v>
      </c>
      <c r="C204" s="73"/>
      <c r="D204" s="12"/>
      <c r="E204" s="56"/>
      <c r="F204" s="13"/>
      <c r="G204" s="59"/>
      <c r="H204" s="14" t="str">
        <f>IF(E204=""," ",IF(E204-G204&gt;0,1,IF(E204-G204&lt;0,2,"x")))</f>
        <v xml:space="preserve"> </v>
      </c>
      <c r="I204" s="41">
        <v>21</v>
      </c>
      <c r="K204" s="7" t="str">
        <f t="shared" si="29"/>
        <v xml:space="preserve"> </v>
      </c>
      <c r="L204" s="7" t="str">
        <f t="shared" si="30"/>
        <v xml:space="preserve"> </v>
      </c>
      <c r="M204" s="7" t="str">
        <f t="shared" si="31"/>
        <v xml:space="preserve"> </v>
      </c>
    </row>
    <row r="205" spans="1:13">
      <c r="A205" s="71"/>
      <c r="B205" s="15" t="s">
        <v>4</v>
      </c>
      <c r="C205" s="74"/>
      <c r="D205" s="16"/>
      <c r="E205" s="57"/>
      <c r="F205" s="17"/>
      <c r="G205" s="60"/>
      <c r="H205" s="18" t="str">
        <f t="shared" ref="H205:H213" si="32">IF(E205=""," ",IF(E205-G205&gt;0,1,IF(E205-G205&lt;0,2,"x")))</f>
        <v xml:space="preserve"> </v>
      </c>
      <c r="I205" s="41"/>
      <c r="K205" s="7" t="str">
        <f t="shared" si="29"/>
        <v xml:space="preserve"> </v>
      </c>
      <c r="L205" s="7" t="str">
        <f t="shared" si="30"/>
        <v xml:space="preserve"> </v>
      </c>
      <c r="M205" s="7" t="str">
        <f t="shared" si="31"/>
        <v xml:space="preserve"> </v>
      </c>
    </row>
    <row r="206" spans="1:13">
      <c r="A206" s="71"/>
      <c r="B206" s="15" t="s">
        <v>4</v>
      </c>
      <c r="C206" s="74"/>
      <c r="D206" s="16"/>
      <c r="E206" s="57"/>
      <c r="F206" s="17"/>
      <c r="G206" s="60"/>
      <c r="H206" s="18" t="str">
        <f t="shared" si="32"/>
        <v xml:space="preserve"> </v>
      </c>
      <c r="I206" s="41"/>
      <c r="K206" s="7" t="str">
        <f t="shared" si="29"/>
        <v xml:space="preserve"> </v>
      </c>
      <c r="L206" s="7" t="str">
        <f t="shared" si="30"/>
        <v xml:space="preserve"> </v>
      </c>
      <c r="M206" s="7" t="str">
        <f t="shared" si="31"/>
        <v xml:space="preserve"> </v>
      </c>
    </row>
    <row r="207" spans="1:13">
      <c r="A207" s="71"/>
      <c r="B207" s="15" t="s">
        <v>4</v>
      </c>
      <c r="C207" s="74"/>
      <c r="D207" s="16"/>
      <c r="E207" s="57"/>
      <c r="F207" s="17"/>
      <c r="G207" s="60"/>
      <c r="H207" s="18" t="str">
        <f t="shared" si="32"/>
        <v xml:space="preserve"> </v>
      </c>
      <c r="I207" s="41"/>
      <c r="K207" s="7" t="str">
        <f t="shared" si="29"/>
        <v xml:space="preserve"> </v>
      </c>
      <c r="L207" s="7" t="str">
        <f t="shared" si="30"/>
        <v xml:space="preserve"> </v>
      </c>
      <c r="M207" s="7" t="str">
        <f t="shared" si="31"/>
        <v xml:space="preserve"> </v>
      </c>
    </row>
    <row r="208" spans="1:13">
      <c r="A208" s="71"/>
      <c r="B208" s="15" t="s">
        <v>4</v>
      </c>
      <c r="C208" s="74"/>
      <c r="D208" s="16"/>
      <c r="E208" s="57"/>
      <c r="F208" s="17"/>
      <c r="G208" s="60"/>
      <c r="H208" s="18" t="str">
        <f t="shared" si="32"/>
        <v xml:space="preserve"> </v>
      </c>
      <c r="I208" s="41"/>
      <c r="K208" s="7" t="str">
        <f t="shared" si="29"/>
        <v xml:space="preserve"> </v>
      </c>
      <c r="L208" s="7" t="str">
        <f t="shared" si="30"/>
        <v xml:space="preserve"> </v>
      </c>
      <c r="M208" s="7" t="str">
        <f t="shared" si="31"/>
        <v xml:space="preserve"> </v>
      </c>
    </row>
    <row r="209" spans="1:13">
      <c r="A209" s="71"/>
      <c r="B209" s="15" t="s">
        <v>4</v>
      </c>
      <c r="C209" s="74"/>
      <c r="D209" s="16"/>
      <c r="E209" s="57"/>
      <c r="F209" s="17"/>
      <c r="G209" s="60"/>
      <c r="H209" s="18" t="str">
        <f t="shared" si="32"/>
        <v xml:space="preserve"> </v>
      </c>
      <c r="I209" s="41"/>
      <c r="K209" s="7" t="str">
        <f t="shared" si="29"/>
        <v xml:space="preserve"> </v>
      </c>
      <c r="L209" s="7" t="str">
        <f t="shared" si="30"/>
        <v xml:space="preserve"> </v>
      </c>
      <c r="M209" s="7" t="str">
        <f t="shared" si="31"/>
        <v xml:space="preserve"> </v>
      </c>
    </row>
    <row r="210" spans="1:13">
      <c r="A210" s="71"/>
      <c r="B210" s="15" t="s">
        <v>4</v>
      </c>
      <c r="C210" s="74"/>
      <c r="D210" s="16"/>
      <c r="E210" s="57"/>
      <c r="F210" s="17"/>
      <c r="G210" s="60"/>
      <c r="H210" s="18" t="str">
        <f t="shared" si="32"/>
        <v xml:space="preserve"> </v>
      </c>
      <c r="I210" s="41"/>
      <c r="K210" s="7" t="str">
        <f t="shared" si="29"/>
        <v xml:space="preserve"> </v>
      </c>
      <c r="L210" s="7" t="str">
        <f t="shared" si="30"/>
        <v xml:space="preserve"> </v>
      </c>
      <c r="M210" s="7" t="str">
        <f t="shared" si="31"/>
        <v xml:space="preserve"> </v>
      </c>
    </row>
    <row r="211" spans="1:13">
      <c r="A211" s="71"/>
      <c r="B211" s="15" t="s">
        <v>4</v>
      </c>
      <c r="C211" s="74"/>
      <c r="D211" s="16"/>
      <c r="E211" s="57"/>
      <c r="F211" s="17"/>
      <c r="G211" s="60"/>
      <c r="H211" s="18" t="str">
        <f t="shared" si="32"/>
        <v xml:space="preserve"> </v>
      </c>
      <c r="I211" s="41"/>
      <c r="K211" s="7" t="str">
        <f t="shared" si="29"/>
        <v xml:space="preserve"> </v>
      </c>
      <c r="L211" s="7" t="str">
        <f t="shared" si="30"/>
        <v xml:space="preserve"> </v>
      </c>
      <c r="M211" s="7" t="str">
        <f t="shared" si="31"/>
        <v xml:space="preserve"> </v>
      </c>
    </row>
    <row r="212" spans="1:13">
      <c r="A212" s="71"/>
      <c r="B212" s="15" t="s">
        <v>4</v>
      </c>
      <c r="C212" s="74"/>
      <c r="D212" s="16"/>
      <c r="E212" s="57"/>
      <c r="F212" s="17"/>
      <c r="G212" s="60"/>
      <c r="H212" s="18" t="str">
        <f t="shared" si="32"/>
        <v xml:space="preserve"> </v>
      </c>
      <c r="I212" s="41"/>
      <c r="K212" s="7" t="str">
        <f t="shared" si="29"/>
        <v xml:space="preserve"> </v>
      </c>
      <c r="L212" s="7" t="str">
        <f t="shared" si="30"/>
        <v xml:space="preserve"> </v>
      </c>
      <c r="M212" s="7" t="str">
        <f t="shared" si="31"/>
        <v xml:space="preserve"> </v>
      </c>
    </row>
    <row r="213" spans="1:13" ht="13.5" thickBot="1">
      <c r="A213" s="72"/>
      <c r="B213" s="19" t="s">
        <v>4</v>
      </c>
      <c r="C213" s="75"/>
      <c r="D213" s="20"/>
      <c r="E213" s="58"/>
      <c r="F213" s="21"/>
      <c r="G213" s="61"/>
      <c r="H213" s="22" t="str">
        <f t="shared" si="32"/>
        <v xml:space="preserve"> </v>
      </c>
      <c r="I213" s="41"/>
      <c r="K213" s="7" t="str">
        <f t="shared" si="29"/>
        <v xml:space="preserve"> </v>
      </c>
      <c r="L213" s="7" t="str">
        <f t="shared" si="30"/>
        <v xml:space="preserve"> </v>
      </c>
      <c r="M213" s="7" t="str">
        <f t="shared" si="31"/>
        <v xml:space="preserve"> </v>
      </c>
    </row>
    <row r="214" spans="1:13">
      <c r="A214" s="70"/>
      <c r="B214" s="11" t="s">
        <v>4</v>
      </c>
      <c r="C214" s="73"/>
      <c r="D214" s="12"/>
      <c r="E214" s="56"/>
      <c r="F214" s="13"/>
      <c r="G214" s="59"/>
      <c r="H214" s="14" t="str">
        <f>IF(E214=""," ",IF(E214-G214&gt;0,1,IF(E214-G214&lt;0,2,"x")))</f>
        <v xml:space="preserve"> </v>
      </c>
      <c r="I214" s="41">
        <v>22</v>
      </c>
      <c r="K214" s="7" t="str">
        <f t="shared" si="29"/>
        <v xml:space="preserve"> </v>
      </c>
      <c r="L214" s="7" t="str">
        <f t="shared" si="30"/>
        <v xml:space="preserve"> </v>
      </c>
      <c r="M214" s="7" t="str">
        <f t="shared" si="31"/>
        <v xml:space="preserve"> </v>
      </c>
    </row>
    <row r="215" spans="1:13">
      <c r="A215" s="71"/>
      <c r="B215" s="15" t="s">
        <v>4</v>
      </c>
      <c r="C215" s="74"/>
      <c r="D215" s="16"/>
      <c r="E215" s="57"/>
      <c r="F215" s="17"/>
      <c r="G215" s="60"/>
      <c r="H215" s="18" t="str">
        <f t="shared" ref="H215:H223" si="33">IF(E215=""," ",IF(E215-G215&gt;0,1,IF(E215-G215&lt;0,2,"x")))</f>
        <v xml:space="preserve"> </v>
      </c>
      <c r="I215" s="41"/>
      <c r="K215" s="7" t="str">
        <f t="shared" si="29"/>
        <v xml:space="preserve"> </v>
      </c>
      <c r="L215" s="7" t="str">
        <f t="shared" si="30"/>
        <v xml:space="preserve"> </v>
      </c>
      <c r="M215" s="7" t="str">
        <f t="shared" si="31"/>
        <v xml:space="preserve"> </v>
      </c>
    </row>
    <row r="216" spans="1:13">
      <c r="A216" s="71"/>
      <c r="B216" s="15" t="s">
        <v>4</v>
      </c>
      <c r="C216" s="74"/>
      <c r="D216" s="16"/>
      <c r="E216" s="57"/>
      <c r="F216" s="17"/>
      <c r="G216" s="60"/>
      <c r="H216" s="18" t="str">
        <f t="shared" si="33"/>
        <v xml:space="preserve"> </v>
      </c>
      <c r="I216" s="41"/>
      <c r="K216" s="7" t="str">
        <f t="shared" si="29"/>
        <v xml:space="preserve"> </v>
      </c>
      <c r="L216" s="7" t="str">
        <f t="shared" si="30"/>
        <v xml:space="preserve"> </v>
      </c>
      <c r="M216" s="7" t="str">
        <f t="shared" si="31"/>
        <v xml:space="preserve"> </v>
      </c>
    </row>
    <row r="217" spans="1:13">
      <c r="A217" s="71"/>
      <c r="B217" s="15" t="s">
        <v>4</v>
      </c>
      <c r="C217" s="74"/>
      <c r="D217" s="16"/>
      <c r="E217" s="57"/>
      <c r="F217" s="17"/>
      <c r="G217" s="60"/>
      <c r="H217" s="18" t="str">
        <f t="shared" si="33"/>
        <v xml:space="preserve"> </v>
      </c>
      <c r="I217" s="41"/>
      <c r="K217" s="7" t="str">
        <f t="shared" si="29"/>
        <v xml:space="preserve"> </v>
      </c>
      <c r="L217" s="7" t="str">
        <f t="shared" si="30"/>
        <v xml:space="preserve"> </v>
      </c>
      <c r="M217" s="7" t="str">
        <f t="shared" si="31"/>
        <v xml:space="preserve"> </v>
      </c>
    </row>
    <row r="218" spans="1:13">
      <c r="A218" s="71"/>
      <c r="B218" s="15" t="s">
        <v>4</v>
      </c>
      <c r="C218" s="74"/>
      <c r="D218" s="16"/>
      <c r="E218" s="57"/>
      <c r="F218" s="17"/>
      <c r="G218" s="60"/>
      <c r="H218" s="18" t="str">
        <f t="shared" si="33"/>
        <v xml:space="preserve"> </v>
      </c>
      <c r="I218" s="41"/>
      <c r="K218" s="7" t="str">
        <f t="shared" si="29"/>
        <v xml:space="preserve"> </v>
      </c>
      <c r="L218" s="7" t="str">
        <f t="shared" si="30"/>
        <v xml:space="preserve"> </v>
      </c>
      <c r="M218" s="7" t="str">
        <f t="shared" si="31"/>
        <v xml:space="preserve"> </v>
      </c>
    </row>
    <row r="219" spans="1:13">
      <c r="A219" s="71"/>
      <c r="B219" s="15" t="s">
        <v>4</v>
      </c>
      <c r="C219" s="74"/>
      <c r="D219" s="16"/>
      <c r="E219" s="57"/>
      <c r="F219" s="17"/>
      <c r="G219" s="60"/>
      <c r="H219" s="18" t="str">
        <f t="shared" si="33"/>
        <v xml:space="preserve"> </v>
      </c>
      <c r="I219" s="41"/>
      <c r="K219" s="7" t="str">
        <f t="shared" si="29"/>
        <v xml:space="preserve"> </v>
      </c>
      <c r="L219" s="7" t="str">
        <f t="shared" si="30"/>
        <v xml:space="preserve"> </v>
      </c>
      <c r="M219" s="7" t="str">
        <f t="shared" si="31"/>
        <v xml:space="preserve"> </v>
      </c>
    </row>
    <row r="220" spans="1:13">
      <c r="A220" s="71"/>
      <c r="B220" s="15" t="s">
        <v>4</v>
      </c>
      <c r="C220" s="74"/>
      <c r="D220" s="16"/>
      <c r="E220" s="57"/>
      <c r="F220" s="17"/>
      <c r="G220" s="60"/>
      <c r="H220" s="18" t="str">
        <f t="shared" si="33"/>
        <v xml:space="preserve"> </v>
      </c>
      <c r="I220" s="41"/>
      <c r="K220" s="7" t="str">
        <f t="shared" si="29"/>
        <v xml:space="preserve"> </v>
      </c>
      <c r="L220" s="7" t="str">
        <f t="shared" si="30"/>
        <v xml:space="preserve"> </v>
      </c>
      <c r="M220" s="7" t="str">
        <f t="shared" si="31"/>
        <v xml:space="preserve"> </v>
      </c>
    </row>
    <row r="221" spans="1:13">
      <c r="A221" s="71"/>
      <c r="B221" s="15" t="s">
        <v>4</v>
      </c>
      <c r="C221" s="74"/>
      <c r="D221" s="16"/>
      <c r="E221" s="57"/>
      <c r="F221" s="17"/>
      <c r="G221" s="60"/>
      <c r="H221" s="18" t="str">
        <f t="shared" si="33"/>
        <v xml:space="preserve"> </v>
      </c>
      <c r="I221" s="41"/>
      <c r="K221" s="7" t="str">
        <f t="shared" si="29"/>
        <v xml:space="preserve"> </v>
      </c>
      <c r="L221" s="7" t="str">
        <f t="shared" si="30"/>
        <v xml:space="preserve"> </v>
      </c>
      <c r="M221" s="7" t="str">
        <f t="shared" si="31"/>
        <v xml:space="preserve"> </v>
      </c>
    </row>
    <row r="222" spans="1:13">
      <c r="A222" s="71"/>
      <c r="B222" s="15" t="s">
        <v>4</v>
      </c>
      <c r="C222" s="74"/>
      <c r="D222" s="16"/>
      <c r="E222" s="57"/>
      <c r="F222" s="17"/>
      <c r="G222" s="60"/>
      <c r="H222" s="18" t="str">
        <f t="shared" si="33"/>
        <v xml:space="preserve"> </v>
      </c>
      <c r="I222" s="41"/>
      <c r="K222" s="7" t="str">
        <f t="shared" si="29"/>
        <v xml:space="preserve"> </v>
      </c>
      <c r="L222" s="7" t="str">
        <f t="shared" si="30"/>
        <v xml:space="preserve"> </v>
      </c>
      <c r="M222" s="7" t="str">
        <f t="shared" si="31"/>
        <v xml:space="preserve"> </v>
      </c>
    </row>
    <row r="223" spans="1:13" ht="13.5" thickBot="1">
      <c r="A223" s="72"/>
      <c r="B223" s="19" t="s">
        <v>4</v>
      </c>
      <c r="C223" s="75"/>
      <c r="D223" s="20"/>
      <c r="E223" s="58"/>
      <c r="F223" s="21"/>
      <c r="G223" s="61"/>
      <c r="H223" s="22" t="str">
        <f t="shared" si="33"/>
        <v xml:space="preserve"> </v>
      </c>
      <c r="I223" s="41"/>
      <c r="K223" s="7" t="str">
        <f t="shared" si="29"/>
        <v xml:space="preserve"> </v>
      </c>
      <c r="L223" s="7" t="str">
        <f t="shared" si="30"/>
        <v xml:space="preserve"> </v>
      </c>
      <c r="M223" s="7" t="str">
        <f t="shared" si="31"/>
        <v xml:space="preserve"> </v>
      </c>
    </row>
    <row r="224" spans="1:13">
      <c r="A224" s="70"/>
      <c r="B224" s="11" t="s">
        <v>4</v>
      </c>
      <c r="C224" s="73"/>
      <c r="D224" s="12"/>
      <c r="E224" s="56"/>
      <c r="F224" s="13"/>
      <c r="G224" s="59"/>
      <c r="H224" s="14" t="str">
        <f>IF(E224=""," ",IF(E224-G224&gt;0,1,IF(E224-G224&lt;0,2,"x")))</f>
        <v xml:space="preserve"> </v>
      </c>
      <c r="I224" s="41">
        <v>23</v>
      </c>
      <c r="K224" s="7" t="str">
        <f t="shared" si="29"/>
        <v xml:space="preserve"> </v>
      </c>
      <c r="L224" s="7" t="str">
        <f t="shared" si="30"/>
        <v xml:space="preserve"> </v>
      </c>
      <c r="M224" s="7" t="str">
        <f t="shared" si="31"/>
        <v xml:space="preserve"> </v>
      </c>
    </row>
    <row r="225" spans="1:13">
      <c r="A225" s="71"/>
      <c r="B225" s="15" t="s">
        <v>4</v>
      </c>
      <c r="C225" s="74"/>
      <c r="D225" s="16"/>
      <c r="E225" s="57"/>
      <c r="F225" s="17"/>
      <c r="G225" s="60"/>
      <c r="H225" s="18" t="str">
        <f t="shared" ref="H225:H233" si="34">IF(E225=""," ",IF(E225-G225&gt;0,1,IF(E225-G225&lt;0,2,"x")))</f>
        <v xml:space="preserve"> </v>
      </c>
      <c r="I225" s="41"/>
      <c r="K225" s="7" t="str">
        <f t="shared" si="29"/>
        <v xml:space="preserve"> </v>
      </c>
      <c r="L225" s="7" t="str">
        <f t="shared" si="30"/>
        <v xml:space="preserve"> </v>
      </c>
      <c r="M225" s="7" t="str">
        <f t="shared" si="31"/>
        <v xml:space="preserve"> </v>
      </c>
    </row>
    <row r="226" spans="1:13">
      <c r="A226" s="71"/>
      <c r="B226" s="15" t="s">
        <v>4</v>
      </c>
      <c r="C226" s="74"/>
      <c r="D226" s="16"/>
      <c r="E226" s="57"/>
      <c r="F226" s="17"/>
      <c r="G226" s="60"/>
      <c r="H226" s="18" t="str">
        <f t="shared" si="34"/>
        <v xml:space="preserve"> </v>
      </c>
      <c r="I226" s="41"/>
      <c r="K226" s="7" t="str">
        <f t="shared" si="29"/>
        <v xml:space="preserve"> </v>
      </c>
      <c r="L226" s="7" t="str">
        <f t="shared" si="30"/>
        <v xml:space="preserve"> </v>
      </c>
      <c r="M226" s="7" t="str">
        <f t="shared" si="31"/>
        <v xml:space="preserve"> </v>
      </c>
    </row>
    <row r="227" spans="1:13">
      <c r="A227" s="71"/>
      <c r="B227" s="15" t="s">
        <v>4</v>
      </c>
      <c r="C227" s="74"/>
      <c r="D227" s="16"/>
      <c r="E227" s="57"/>
      <c r="F227" s="17"/>
      <c r="G227" s="60"/>
      <c r="H227" s="18" t="str">
        <f t="shared" si="34"/>
        <v xml:space="preserve"> </v>
      </c>
      <c r="I227" s="41"/>
      <c r="K227" s="7" t="str">
        <f t="shared" si="29"/>
        <v xml:space="preserve"> </v>
      </c>
      <c r="L227" s="7" t="str">
        <f t="shared" si="30"/>
        <v xml:space="preserve"> </v>
      </c>
      <c r="M227" s="7" t="str">
        <f t="shared" si="31"/>
        <v xml:space="preserve"> </v>
      </c>
    </row>
    <row r="228" spans="1:13">
      <c r="A228" s="71"/>
      <c r="B228" s="15" t="s">
        <v>4</v>
      </c>
      <c r="C228" s="74"/>
      <c r="D228" s="16"/>
      <c r="E228" s="57"/>
      <c r="F228" s="17"/>
      <c r="G228" s="60"/>
      <c r="H228" s="18" t="str">
        <f t="shared" si="34"/>
        <v xml:space="preserve"> </v>
      </c>
      <c r="I228" s="41"/>
      <c r="K228" s="7" t="str">
        <f t="shared" si="29"/>
        <v xml:space="preserve"> </v>
      </c>
      <c r="L228" s="7" t="str">
        <f t="shared" si="30"/>
        <v xml:space="preserve"> </v>
      </c>
      <c r="M228" s="7" t="str">
        <f t="shared" si="31"/>
        <v xml:space="preserve"> </v>
      </c>
    </row>
    <row r="229" spans="1:13">
      <c r="A229" s="71"/>
      <c r="B229" s="15" t="s">
        <v>4</v>
      </c>
      <c r="C229" s="74"/>
      <c r="D229" s="16"/>
      <c r="E229" s="57"/>
      <c r="F229" s="17"/>
      <c r="G229" s="60"/>
      <c r="H229" s="18" t="str">
        <f t="shared" si="34"/>
        <v xml:space="preserve"> </v>
      </c>
      <c r="I229" s="41"/>
      <c r="K229" s="7" t="str">
        <f t="shared" si="29"/>
        <v xml:space="preserve"> </v>
      </c>
      <c r="L229" s="7" t="str">
        <f t="shared" si="30"/>
        <v xml:space="preserve"> </v>
      </c>
      <c r="M229" s="7" t="str">
        <f t="shared" si="31"/>
        <v xml:space="preserve"> </v>
      </c>
    </row>
    <row r="230" spans="1:13">
      <c r="A230" s="71"/>
      <c r="B230" s="15" t="s">
        <v>4</v>
      </c>
      <c r="C230" s="74"/>
      <c r="D230" s="16"/>
      <c r="E230" s="57"/>
      <c r="F230" s="17"/>
      <c r="G230" s="60"/>
      <c r="H230" s="18" t="str">
        <f t="shared" si="34"/>
        <v xml:space="preserve"> </v>
      </c>
      <c r="I230" s="41"/>
      <c r="K230" s="7" t="str">
        <f t="shared" si="29"/>
        <v xml:space="preserve"> </v>
      </c>
      <c r="L230" s="7" t="str">
        <f t="shared" si="30"/>
        <v xml:space="preserve"> </v>
      </c>
      <c r="M230" s="7" t="str">
        <f t="shared" si="31"/>
        <v xml:space="preserve"> </v>
      </c>
    </row>
    <row r="231" spans="1:13">
      <c r="A231" s="71"/>
      <c r="B231" s="15" t="s">
        <v>4</v>
      </c>
      <c r="C231" s="74"/>
      <c r="D231" s="16"/>
      <c r="E231" s="57"/>
      <c r="F231" s="17"/>
      <c r="G231" s="60"/>
      <c r="H231" s="18" t="str">
        <f t="shared" si="34"/>
        <v xml:space="preserve"> </v>
      </c>
      <c r="I231" s="41"/>
      <c r="K231" s="7" t="str">
        <f t="shared" si="29"/>
        <v xml:space="preserve"> </v>
      </c>
      <c r="L231" s="7" t="str">
        <f t="shared" si="30"/>
        <v xml:space="preserve"> </v>
      </c>
      <c r="M231" s="7" t="str">
        <f t="shared" si="31"/>
        <v xml:space="preserve"> </v>
      </c>
    </row>
    <row r="232" spans="1:13">
      <c r="A232" s="71"/>
      <c r="B232" s="15" t="s">
        <v>4</v>
      </c>
      <c r="C232" s="74"/>
      <c r="D232" s="16"/>
      <c r="E232" s="57"/>
      <c r="F232" s="17"/>
      <c r="G232" s="60"/>
      <c r="H232" s="18" t="str">
        <f t="shared" si="34"/>
        <v xml:space="preserve"> </v>
      </c>
      <c r="I232" s="41"/>
      <c r="K232" s="7" t="str">
        <f t="shared" si="29"/>
        <v xml:space="preserve"> </v>
      </c>
      <c r="L232" s="7" t="str">
        <f t="shared" si="30"/>
        <v xml:space="preserve"> </v>
      </c>
      <c r="M232" s="7" t="str">
        <f t="shared" si="31"/>
        <v xml:space="preserve"> </v>
      </c>
    </row>
    <row r="233" spans="1:13" ht="13.5" thickBot="1">
      <c r="A233" s="72"/>
      <c r="B233" s="19" t="s">
        <v>4</v>
      </c>
      <c r="C233" s="75"/>
      <c r="D233" s="20"/>
      <c r="E233" s="58"/>
      <c r="F233" s="21"/>
      <c r="G233" s="61"/>
      <c r="H233" s="22" t="str">
        <f t="shared" si="34"/>
        <v xml:space="preserve"> </v>
      </c>
      <c r="I233" s="41"/>
      <c r="K233" s="7" t="str">
        <f t="shared" si="29"/>
        <v xml:space="preserve"> </v>
      </c>
      <c r="L233" s="7" t="str">
        <f t="shared" si="30"/>
        <v xml:space="preserve"> </v>
      </c>
      <c r="M233" s="7" t="str">
        <f t="shared" si="31"/>
        <v xml:space="preserve"> </v>
      </c>
    </row>
    <row r="234" spans="1:13">
      <c r="A234" s="70"/>
      <c r="B234" s="11" t="s">
        <v>4</v>
      </c>
      <c r="C234" s="73"/>
      <c r="D234" s="12"/>
      <c r="E234" s="56"/>
      <c r="F234" s="13"/>
      <c r="G234" s="59"/>
      <c r="H234" s="14" t="str">
        <f>IF(E234=""," ",IF(E234-G234&gt;0,1,IF(E234-G234&lt;0,2,"x")))</f>
        <v xml:space="preserve"> </v>
      </c>
      <c r="I234" s="41">
        <v>24</v>
      </c>
      <c r="K234" s="7" t="str">
        <f t="shared" si="29"/>
        <v xml:space="preserve"> </v>
      </c>
      <c r="L234" s="7" t="str">
        <f t="shared" si="30"/>
        <v xml:space="preserve"> </v>
      </c>
      <c r="M234" s="7" t="str">
        <f t="shared" si="31"/>
        <v xml:space="preserve"> </v>
      </c>
    </row>
    <row r="235" spans="1:13">
      <c r="A235" s="71"/>
      <c r="B235" s="15" t="s">
        <v>4</v>
      </c>
      <c r="C235" s="74"/>
      <c r="D235" s="16"/>
      <c r="E235" s="57"/>
      <c r="F235" s="17"/>
      <c r="G235" s="60"/>
      <c r="H235" s="18" t="str">
        <f t="shared" ref="H235:H243" si="35">IF(E235=""," ",IF(E235-G235&gt;0,1,IF(E235-G235&lt;0,2,"x")))</f>
        <v xml:space="preserve"> </v>
      </c>
      <c r="I235" s="41"/>
      <c r="K235" s="7" t="str">
        <f t="shared" si="29"/>
        <v xml:space="preserve"> </v>
      </c>
      <c r="L235" s="7" t="str">
        <f t="shared" si="30"/>
        <v xml:space="preserve"> </v>
      </c>
      <c r="M235" s="7" t="str">
        <f t="shared" si="31"/>
        <v xml:space="preserve"> </v>
      </c>
    </row>
    <row r="236" spans="1:13">
      <c r="A236" s="71"/>
      <c r="B236" s="15" t="s">
        <v>4</v>
      </c>
      <c r="C236" s="74"/>
      <c r="D236" s="16"/>
      <c r="E236" s="57"/>
      <c r="F236" s="17"/>
      <c r="G236" s="60"/>
      <c r="H236" s="18" t="str">
        <f t="shared" si="35"/>
        <v xml:space="preserve"> </v>
      </c>
      <c r="I236" s="41"/>
      <c r="K236" s="7" t="str">
        <f t="shared" si="29"/>
        <v xml:space="preserve"> </v>
      </c>
      <c r="L236" s="7" t="str">
        <f t="shared" si="30"/>
        <v xml:space="preserve"> </v>
      </c>
      <c r="M236" s="7" t="str">
        <f t="shared" si="31"/>
        <v xml:space="preserve"> </v>
      </c>
    </row>
    <row r="237" spans="1:13">
      <c r="A237" s="71"/>
      <c r="B237" s="15" t="s">
        <v>4</v>
      </c>
      <c r="C237" s="74"/>
      <c r="D237" s="16"/>
      <c r="E237" s="57"/>
      <c r="F237" s="17"/>
      <c r="G237" s="60"/>
      <c r="H237" s="18" t="str">
        <f t="shared" si="35"/>
        <v xml:space="preserve"> </v>
      </c>
      <c r="I237" s="41"/>
      <c r="K237" s="7" t="str">
        <f t="shared" si="29"/>
        <v xml:space="preserve"> </v>
      </c>
      <c r="L237" s="7" t="str">
        <f t="shared" si="30"/>
        <v xml:space="preserve"> </v>
      </c>
      <c r="M237" s="7" t="str">
        <f t="shared" si="31"/>
        <v xml:space="preserve"> </v>
      </c>
    </row>
    <row r="238" spans="1:13">
      <c r="A238" s="71"/>
      <c r="B238" s="15" t="s">
        <v>4</v>
      </c>
      <c r="C238" s="74"/>
      <c r="D238" s="16"/>
      <c r="E238" s="57"/>
      <c r="F238" s="17"/>
      <c r="G238" s="60"/>
      <c r="H238" s="18" t="str">
        <f t="shared" si="35"/>
        <v xml:space="preserve"> </v>
      </c>
      <c r="I238" s="41"/>
      <c r="K238" s="7" t="str">
        <f t="shared" si="29"/>
        <v xml:space="preserve"> </v>
      </c>
      <c r="L238" s="7" t="str">
        <f t="shared" si="30"/>
        <v xml:space="preserve"> </v>
      </c>
      <c r="M238" s="7" t="str">
        <f t="shared" si="31"/>
        <v xml:space="preserve"> </v>
      </c>
    </row>
    <row r="239" spans="1:13">
      <c r="A239" s="71"/>
      <c r="B239" s="15" t="s">
        <v>4</v>
      </c>
      <c r="C239" s="74"/>
      <c r="D239" s="16"/>
      <c r="E239" s="57"/>
      <c r="F239" s="17"/>
      <c r="G239" s="60"/>
      <c r="H239" s="18" t="str">
        <f t="shared" si="35"/>
        <v xml:space="preserve"> </v>
      </c>
      <c r="I239" s="41"/>
      <c r="K239" s="7" t="str">
        <f t="shared" si="29"/>
        <v xml:space="preserve"> </v>
      </c>
      <c r="L239" s="7" t="str">
        <f t="shared" si="30"/>
        <v xml:space="preserve"> </v>
      </c>
      <c r="M239" s="7" t="str">
        <f t="shared" si="31"/>
        <v xml:space="preserve"> </v>
      </c>
    </row>
    <row r="240" spans="1:13">
      <c r="A240" s="71"/>
      <c r="B240" s="15" t="s">
        <v>4</v>
      </c>
      <c r="C240" s="74"/>
      <c r="D240" s="16"/>
      <c r="E240" s="57"/>
      <c r="F240" s="17"/>
      <c r="G240" s="60"/>
      <c r="H240" s="18" t="str">
        <f t="shared" si="35"/>
        <v xml:space="preserve"> </v>
      </c>
      <c r="I240" s="41"/>
      <c r="K240" s="7" t="str">
        <f t="shared" si="29"/>
        <v xml:space="preserve"> </v>
      </c>
      <c r="L240" s="7" t="str">
        <f t="shared" si="30"/>
        <v xml:space="preserve"> </v>
      </c>
      <c r="M240" s="7" t="str">
        <f t="shared" si="31"/>
        <v xml:space="preserve"> </v>
      </c>
    </row>
    <row r="241" spans="1:13">
      <c r="A241" s="71"/>
      <c r="B241" s="15" t="s">
        <v>4</v>
      </c>
      <c r="C241" s="74"/>
      <c r="D241" s="16"/>
      <c r="E241" s="57"/>
      <c r="F241" s="17"/>
      <c r="G241" s="60"/>
      <c r="H241" s="18" t="str">
        <f t="shared" si="35"/>
        <v xml:space="preserve"> </v>
      </c>
      <c r="I241" s="41"/>
      <c r="K241" s="7" t="str">
        <f t="shared" si="29"/>
        <v xml:space="preserve"> </v>
      </c>
      <c r="L241" s="7" t="str">
        <f t="shared" si="30"/>
        <v xml:space="preserve"> </v>
      </c>
      <c r="M241" s="7" t="str">
        <f t="shared" si="31"/>
        <v xml:space="preserve"> </v>
      </c>
    </row>
    <row r="242" spans="1:13">
      <c r="A242" s="71"/>
      <c r="B242" s="15" t="s">
        <v>4</v>
      </c>
      <c r="C242" s="74"/>
      <c r="D242" s="16"/>
      <c r="E242" s="57"/>
      <c r="F242" s="17"/>
      <c r="G242" s="60"/>
      <c r="H242" s="18" t="str">
        <f t="shared" si="35"/>
        <v xml:space="preserve"> </v>
      </c>
      <c r="I242" s="41"/>
      <c r="K242" s="7" t="str">
        <f t="shared" si="29"/>
        <v xml:space="preserve"> </v>
      </c>
      <c r="L242" s="7" t="str">
        <f t="shared" si="30"/>
        <v xml:space="preserve"> </v>
      </c>
      <c r="M242" s="7" t="str">
        <f t="shared" si="31"/>
        <v xml:space="preserve"> </v>
      </c>
    </row>
    <row r="243" spans="1:13" ht="13.5" thickBot="1">
      <c r="A243" s="72"/>
      <c r="B243" s="19" t="s">
        <v>4</v>
      </c>
      <c r="C243" s="75"/>
      <c r="D243" s="20"/>
      <c r="E243" s="58"/>
      <c r="F243" s="21"/>
      <c r="G243" s="61"/>
      <c r="H243" s="22" t="str">
        <f t="shared" si="35"/>
        <v xml:space="preserve"> </v>
      </c>
      <c r="I243" s="41"/>
      <c r="K243" s="7" t="str">
        <f t="shared" si="29"/>
        <v xml:space="preserve"> </v>
      </c>
      <c r="L243" s="7" t="str">
        <f t="shared" si="30"/>
        <v xml:space="preserve"> </v>
      </c>
      <c r="M243" s="7" t="str">
        <f t="shared" si="31"/>
        <v xml:space="preserve"> </v>
      </c>
    </row>
    <row r="244" spans="1:13">
      <c r="A244" s="70"/>
      <c r="B244" s="11" t="s">
        <v>4</v>
      </c>
      <c r="C244" s="73"/>
      <c r="D244" s="12"/>
      <c r="E244" s="56"/>
      <c r="F244" s="13"/>
      <c r="G244" s="59"/>
      <c r="H244" s="14" t="str">
        <f>IF(E244=""," ",IF(E244-G244&gt;0,1,IF(E244-G244&lt;0,2,"x")))</f>
        <v xml:space="preserve"> </v>
      </c>
      <c r="I244" s="41">
        <v>25</v>
      </c>
      <c r="K244" s="7" t="str">
        <f t="shared" si="29"/>
        <v xml:space="preserve"> </v>
      </c>
      <c r="L244" s="7" t="str">
        <f t="shared" si="30"/>
        <v xml:space="preserve"> </v>
      </c>
      <c r="M244" s="7" t="str">
        <f t="shared" si="31"/>
        <v xml:space="preserve"> </v>
      </c>
    </row>
    <row r="245" spans="1:13">
      <c r="A245" s="71"/>
      <c r="B245" s="15" t="s">
        <v>4</v>
      </c>
      <c r="C245" s="74"/>
      <c r="D245" s="16"/>
      <c r="E245" s="57"/>
      <c r="F245" s="17"/>
      <c r="G245" s="60"/>
      <c r="H245" s="18" t="str">
        <f t="shared" ref="H245:H253" si="36">IF(E245=""," ",IF(E245-G245&gt;0,1,IF(E245-G245&lt;0,2,"x")))</f>
        <v xml:space="preserve"> </v>
      </c>
      <c r="I245" s="41"/>
      <c r="K245" s="7" t="str">
        <f t="shared" si="29"/>
        <v xml:space="preserve"> </v>
      </c>
      <c r="L245" s="7" t="str">
        <f t="shared" si="30"/>
        <v xml:space="preserve"> </v>
      </c>
      <c r="M245" s="7" t="str">
        <f t="shared" si="31"/>
        <v xml:space="preserve"> </v>
      </c>
    </row>
    <row r="246" spans="1:13">
      <c r="A246" s="71"/>
      <c r="B246" s="15" t="s">
        <v>4</v>
      </c>
      <c r="C246" s="74"/>
      <c r="D246" s="16"/>
      <c r="E246" s="57"/>
      <c r="F246" s="17"/>
      <c r="G246" s="60"/>
      <c r="H246" s="18" t="str">
        <f t="shared" si="36"/>
        <v xml:space="preserve"> </v>
      </c>
      <c r="I246" s="41"/>
      <c r="K246" s="7" t="str">
        <f t="shared" si="29"/>
        <v xml:space="preserve"> </v>
      </c>
      <c r="L246" s="7" t="str">
        <f t="shared" si="30"/>
        <v xml:space="preserve"> </v>
      </c>
      <c r="M246" s="7" t="str">
        <f t="shared" si="31"/>
        <v xml:space="preserve"> </v>
      </c>
    </row>
    <row r="247" spans="1:13">
      <c r="A247" s="71"/>
      <c r="B247" s="15" t="s">
        <v>4</v>
      </c>
      <c r="C247" s="74"/>
      <c r="D247" s="16"/>
      <c r="E247" s="57"/>
      <c r="F247" s="17"/>
      <c r="G247" s="60"/>
      <c r="H247" s="18" t="str">
        <f t="shared" si="36"/>
        <v xml:space="preserve"> </v>
      </c>
      <c r="I247" s="41"/>
      <c r="K247" s="7" t="str">
        <f t="shared" si="29"/>
        <v xml:space="preserve"> </v>
      </c>
      <c r="L247" s="7" t="str">
        <f t="shared" si="30"/>
        <v xml:space="preserve"> </v>
      </c>
      <c r="M247" s="7" t="str">
        <f t="shared" si="31"/>
        <v xml:space="preserve"> </v>
      </c>
    </row>
    <row r="248" spans="1:13">
      <c r="A248" s="71"/>
      <c r="B248" s="15" t="s">
        <v>4</v>
      </c>
      <c r="C248" s="74"/>
      <c r="D248" s="16"/>
      <c r="E248" s="57"/>
      <c r="F248" s="17"/>
      <c r="G248" s="60"/>
      <c r="H248" s="18" t="str">
        <f t="shared" si="36"/>
        <v xml:space="preserve"> </v>
      </c>
      <c r="I248" s="41"/>
      <c r="K248" s="7" t="str">
        <f t="shared" si="29"/>
        <v xml:space="preserve"> </v>
      </c>
      <c r="L248" s="7" t="str">
        <f t="shared" si="30"/>
        <v xml:space="preserve"> </v>
      </c>
      <c r="M248" s="7" t="str">
        <f t="shared" si="31"/>
        <v xml:space="preserve"> </v>
      </c>
    </row>
    <row r="249" spans="1:13">
      <c r="A249" s="71"/>
      <c r="B249" s="15" t="s">
        <v>4</v>
      </c>
      <c r="C249" s="74"/>
      <c r="D249" s="16"/>
      <c r="E249" s="57"/>
      <c r="F249" s="17"/>
      <c r="G249" s="60"/>
      <c r="H249" s="18" t="str">
        <f t="shared" si="36"/>
        <v xml:space="preserve"> </v>
      </c>
      <c r="I249" s="41"/>
      <c r="K249" s="7" t="str">
        <f t="shared" si="29"/>
        <v xml:space="preserve"> </v>
      </c>
      <c r="L249" s="7" t="str">
        <f t="shared" si="30"/>
        <v xml:space="preserve"> </v>
      </c>
      <c r="M249" s="7" t="str">
        <f t="shared" si="31"/>
        <v xml:space="preserve"> </v>
      </c>
    </row>
    <row r="250" spans="1:13">
      <c r="A250" s="71"/>
      <c r="B250" s="15" t="s">
        <v>4</v>
      </c>
      <c r="C250" s="74"/>
      <c r="D250" s="16"/>
      <c r="E250" s="57"/>
      <c r="F250" s="17"/>
      <c r="G250" s="60"/>
      <c r="H250" s="18" t="str">
        <f t="shared" si="36"/>
        <v xml:space="preserve"> </v>
      </c>
      <c r="I250" s="41"/>
      <c r="K250" s="7" t="str">
        <f t="shared" si="29"/>
        <v xml:space="preserve"> </v>
      </c>
      <c r="L250" s="7" t="str">
        <f t="shared" si="30"/>
        <v xml:space="preserve"> </v>
      </c>
      <c r="M250" s="7" t="str">
        <f t="shared" si="31"/>
        <v xml:space="preserve"> </v>
      </c>
    </row>
    <row r="251" spans="1:13">
      <c r="A251" s="71"/>
      <c r="B251" s="15" t="s">
        <v>4</v>
      </c>
      <c r="C251" s="74"/>
      <c r="D251" s="16"/>
      <c r="E251" s="57"/>
      <c r="F251" s="17"/>
      <c r="G251" s="60"/>
      <c r="H251" s="18" t="str">
        <f t="shared" si="36"/>
        <v xml:space="preserve"> </v>
      </c>
      <c r="I251" s="41"/>
      <c r="K251" s="7" t="str">
        <f t="shared" si="29"/>
        <v xml:space="preserve"> </v>
      </c>
      <c r="L251" s="7" t="str">
        <f t="shared" si="30"/>
        <v xml:space="preserve"> </v>
      </c>
      <c r="M251" s="7" t="str">
        <f t="shared" si="31"/>
        <v xml:space="preserve"> </v>
      </c>
    </row>
    <row r="252" spans="1:13">
      <c r="A252" s="71"/>
      <c r="B252" s="15" t="s">
        <v>4</v>
      </c>
      <c r="C252" s="74"/>
      <c r="D252" s="16"/>
      <c r="E252" s="57"/>
      <c r="F252" s="17"/>
      <c r="G252" s="60"/>
      <c r="H252" s="18" t="str">
        <f t="shared" si="36"/>
        <v xml:space="preserve"> </v>
      </c>
      <c r="I252" s="41"/>
      <c r="K252" s="7" t="str">
        <f t="shared" si="29"/>
        <v xml:space="preserve"> </v>
      </c>
      <c r="L252" s="7" t="str">
        <f t="shared" si="30"/>
        <v xml:space="preserve"> </v>
      </c>
      <c r="M252" s="7" t="str">
        <f t="shared" si="31"/>
        <v xml:space="preserve"> </v>
      </c>
    </row>
    <row r="253" spans="1:13" ht="13.5" thickBot="1">
      <c r="A253" s="72"/>
      <c r="B253" s="19" t="s">
        <v>4</v>
      </c>
      <c r="C253" s="75"/>
      <c r="D253" s="20"/>
      <c r="E253" s="58"/>
      <c r="F253" s="21"/>
      <c r="G253" s="61"/>
      <c r="H253" s="22" t="str">
        <f t="shared" si="36"/>
        <v xml:space="preserve"> </v>
      </c>
      <c r="I253" s="41"/>
      <c r="K253" s="7" t="str">
        <f t="shared" si="29"/>
        <v xml:space="preserve"> </v>
      </c>
      <c r="L253" s="7" t="str">
        <f t="shared" si="30"/>
        <v xml:space="preserve"> </v>
      </c>
      <c r="M253" s="7" t="str">
        <f t="shared" si="31"/>
        <v xml:space="preserve"> </v>
      </c>
    </row>
    <row r="254" spans="1:13">
      <c r="A254" s="70"/>
      <c r="B254" s="11" t="s">
        <v>4</v>
      </c>
      <c r="C254" s="73"/>
      <c r="D254" s="12"/>
      <c r="E254" s="56"/>
      <c r="F254" s="13"/>
      <c r="G254" s="59"/>
      <c r="H254" s="14" t="str">
        <f>IF(E254=""," ",IF(E254-G254&gt;0,1,IF(E254-G254&lt;0,2,"x")))</f>
        <v xml:space="preserve"> </v>
      </c>
      <c r="I254" s="41">
        <v>26</v>
      </c>
      <c r="K254" s="7" t="str">
        <f t="shared" si="29"/>
        <v xml:space="preserve"> </v>
      </c>
      <c r="L254" s="7" t="str">
        <f t="shared" si="30"/>
        <v xml:space="preserve"> </v>
      </c>
      <c r="M254" s="7" t="str">
        <f t="shared" si="31"/>
        <v xml:space="preserve"> </v>
      </c>
    </row>
    <row r="255" spans="1:13">
      <c r="A255" s="71"/>
      <c r="B255" s="15" t="s">
        <v>4</v>
      </c>
      <c r="C255" s="74"/>
      <c r="D255" s="16"/>
      <c r="E255" s="57"/>
      <c r="F255" s="17"/>
      <c r="G255" s="60"/>
      <c r="H255" s="18" t="str">
        <f t="shared" ref="H255:H263" si="37">IF(E255=""," ",IF(E255-G255&gt;0,1,IF(E255-G255&lt;0,2,"x")))</f>
        <v xml:space="preserve"> </v>
      </c>
      <c r="I255" s="41"/>
      <c r="K255" s="7" t="str">
        <f t="shared" si="29"/>
        <v xml:space="preserve"> </v>
      </c>
      <c r="L255" s="7" t="str">
        <f t="shared" si="30"/>
        <v xml:space="preserve"> </v>
      </c>
      <c r="M255" s="7" t="str">
        <f t="shared" si="31"/>
        <v xml:space="preserve"> </v>
      </c>
    </row>
    <row r="256" spans="1:13">
      <c r="A256" s="71"/>
      <c r="B256" s="15" t="s">
        <v>4</v>
      </c>
      <c r="C256" s="74"/>
      <c r="D256" s="16"/>
      <c r="E256" s="57"/>
      <c r="F256" s="17"/>
      <c r="G256" s="60"/>
      <c r="H256" s="18" t="str">
        <f t="shared" si="37"/>
        <v xml:space="preserve"> </v>
      </c>
      <c r="I256" s="41"/>
      <c r="K256" s="7" t="str">
        <f t="shared" si="29"/>
        <v xml:space="preserve"> </v>
      </c>
      <c r="L256" s="7" t="str">
        <f t="shared" si="30"/>
        <v xml:space="preserve"> </v>
      </c>
      <c r="M256" s="7" t="str">
        <f t="shared" si="31"/>
        <v xml:space="preserve"> </v>
      </c>
    </row>
    <row r="257" spans="1:13">
      <c r="A257" s="71"/>
      <c r="B257" s="15" t="s">
        <v>4</v>
      </c>
      <c r="C257" s="74"/>
      <c r="D257" s="16"/>
      <c r="E257" s="57"/>
      <c r="F257" s="17"/>
      <c r="G257" s="60"/>
      <c r="H257" s="18" t="str">
        <f t="shared" si="37"/>
        <v xml:space="preserve"> </v>
      </c>
      <c r="I257" s="41"/>
      <c r="K257" s="7" t="str">
        <f t="shared" si="29"/>
        <v xml:space="preserve"> </v>
      </c>
      <c r="L257" s="7" t="str">
        <f t="shared" si="30"/>
        <v xml:space="preserve"> </v>
      </c>
      <c r="M257" s="7" t="str">
        <f t="shared" si="31"/>
        <v xml:space="preserve"> </v>
      </c>
    </row>
    <row r="258" spans="1:13">
      <c r="A258" s="71"/>
      <c r="B258" s="15" t="s">
        <v>4</v>
      </c>
      <c r="C258" s="74"/>
      <c r="D258" s="16"/>
      <c r="E258" s="57"/>
      <c r="F258" s="17"/>
      <c r="G258" s="60"/>
      <c r="H258" s="18" t="str">
        <f t="shared" si="37"/>
        <v xml:space="preserve"> </v>
      </c>
      <c r="I258" s="41"/>
      <c r="K258" s="7" t="str">
        <f t="shared" si="29"/>
        <v xml:space="preserve"> </v>
      </c>
      <c r="L258" s="7" t="str">
        <f t="shared" si="30"/>
        <v xml:space="preserve"> </v>
      </c>
      <c r="M258" s="7" t="str">
        <f t="shared" si="31"/>
        <v xml:space="preserve"> </v>
      </c>
    </row>
    <row r="259" spans="1:13">
      <c r="A259" s="71"/>
      <c r="B259" s="15" t="s">
        <v>4</v>
      </c>
      <c r="C259" s="74"/>
      <c r="D259" s="16"/>
      <c r="E259" s="57"/>
      <c r="F259" s="17"/>
      <c r="G259" s="60"/>
      <c r="H259" s="18" t="str">
        <f t="shared" si="37"/>
        <v xml:space="preserve"> </v>
      </c>
      <c r="I259" s="41"/>
      <c r="K259" s="7" t="str">
        <f t="shared" si="29"/>
        <v xml:space="preserve"> </v>
      </c>
      <c r="L259" s="7" t="str">
        <f t="shared" si="30"/>
        <v xml:space="preserve"> </v>
      </c>
      <c r="M259" s="7" t="str">
        <f t="shared" si="31"/>
        <v xml:space="preserve"> </v>
      </c>
    </row>
    <row r="260" spans="1:13">
      <c r="A260" s="71"/>
      <c r="B260" s="15" t="s">
        <v>4</v>
      </c>
      <c r="C260" s="74"/>
      <c r="D260" s="16"/>
      <c r="E260" s="57"/>
      <c r="F260" s="17"/>
      <c r="G260" s="60"/>
      <c r="H260" s="18" t="str">
        <f t="shared" si="37"/>
        <v xml:space="preserve"> </v>
      </c>
      <c r="I260" s="41"/>
      <c r="K260" s="7" t="str">
        <f t="shared" si="29"/>
        <v xml:space="preserve"> </v>
      </c>
      <c r="L260" s="7" t="str">
        <f t="shared" si="30"/>
        <v xml:space="preserve"> </v>
      </c>
      <c r="M260" s="7" t="str">
        <f t="shared" si="31"/>
        <v xml:space="preserve"> </v>
      </c>
    </row>
    <row r="261" spans="1:13">
      <c r="A261" s="71"/>
      <c r="B261" s="15" t="s">
        <v>4</v>
      </c>
      <c r="C261" s="74"/>
      <c r="D261" s="16"/>
      <c r="E261" s="57"/>
      <c r="F261" s="17"/>
      <c r="G261" s="60"/>
      <c r="H261" s="18" t="str">
        <f t="shared" si="37"/>
        <v xml:space="preserve"> </v>
      </c>
      <c r="I261" s="41"/>
      <c r="K261" s="7" t="str">
        <f t="shared" ref="K261:K324" si="38">IF(E261=""," ",IF(E261-G261&gt;0,1,0))</f>
        <v xml:space="preserve"> </v>
      </c>
      <c r="L261" s="7" t="str">
        <f t="shared" ref="L261:L324" si="39">IF(E261=""," ",IF(E261-G261=0,1,0))</f>
        <v xml:space="preserve"> </v>
      </c>
      <c r="M261" s="7" t="str">
        <f t="shared" ref="M261:M324" si="40">IF(E261=""," ",IF(E261-G261&lt;0,1,0))</f>
        <v xml:space="preserve"> </v>
      </c>
    </row>
    <row r="262" spans="1:13">
      <c r="A262" s="71"/>
      <c r="B262" s="15" t="s">
        <v>4</v>
      </c>
      <c r="C262" s="74"/>
      <c r="D262" s="16"/>
      <c r="E262" s="57"/>
      <c r="F262" s="17"/>
      <c r="G262" s="60"/>
      <c r="H262" s="18" t="str">
        <f t="shared" si="37"/>
        <v xml:space="preserve"> </v>
      </c>
      <c r="I262" s="41"/>
      <c r="K262" s="7" t="str">
        <f t="shared" si="38"/>
        <v xml:space="preserve"> </v>
      </c>
      <c r="L262" s="7" t="str">
        <f t="shared" si="39"/>
        <v xml:space="preserve"> </v>
      </c>
      <c r="M262" s="7" t="str">
        <f t="shared" si="40"/>
        <v xml:space="preserve"> </v>
      </c>
    </row>
    <row r="263" spans="1:13" ht="13.5" thickBot="1">
      <c r="A263" s="72"/>
      <c r="B263" s="19" t="s">
        <v>4</v>
      </c>
      <c r="C263" s="75"/>
      <c r="D263" s="20"/>
      <c r="E263" s="58"/>
      <c r="F263" s="21"/>
      <c r="G263" s="61"/>
      <c r="H263" s="22" t="str">
        <f t="shared" si="37"/>
        <v xml:space="preserve"> </v>
      </c>
      <c r="I263" s="41"/>
      <c r="K263" s="7" t="str">
        <f t="shared" si="38"/>
        <v xml:space="preserve"> </v>
      </c>
      <c r="L263" s="7" t="str">
        <f t="shared" si="39"/>
        <v xml:space="preserve"> </v>
      </c>
      <c r="M263" s="7" t="str">
        <f t="shared" si="40"/>
        <v xml:space="preserve"> </v>
      </c>
    </row>
    <row r="264" spans="1:13">
      <c r="A264" s="70"/>
      <c r="B264" s="11" t="s">
        <v>4</v>
      </c>
      <c r="C264" s="73"/>
      <c r="D264" s="12"/>
      <c r="E264" s="56"/>
      <c r="F264" s="13"/>
      <c r="G264" s="59"/>
      <c r="H264" s="14" t="str">
        <f>IF(E264=""," ",IF(E264-G264&gt;0,1,IF(E264-G264&lt;0,2,"x")))</f>
        <v xml:space="preserve"> </v>
      </c>
      <c r="I264" s="41">
        <v>27</v>
      </c>
      <c r="K264" s="7" t="str">
        <f t="shared" si="38"/>
        <v xml:space="preserve"> </v>
      </c>
      <c r="L264" s="7" t="str">
        <f t="shared" si="39"/>
        <v xml:space="preserve"> </v>
      </c>
      <c r="M264" s="7" t="str">
        <f t="shared" si="40"/>
        <v xml:space="preserve"> </v>
      </c>
    </row>
    <row r="265" spans="1:13">
      <c r="A265" s="71"/>
      <c r="B265" s="15" t="s">
        <v>4</v>
      </c>
      <c r="C265" s="74"/>
      <c r="D265" s="16"/>
      <c r="E265" s="57"/>
      <c r="F265" s="17"/>
      <c r="G265" s="60"/>
      <c r="H265" s="18" t="str">
        <f t="shared" ref="H265:H273" si="41">IF(E265=""," ",IF(E265-G265&gt;0,1,IF(E265-G265&lt;0,2,"x")))</f>
        <v xml:space="preserve"> </v>
      </c>
      <c r="I265" s="41"/>
      <c r="K265" s="7" t="str">
        <f t="shared" si="38"/>
        <v xml:space="preserve"> </v>
      </c>
      <c r="L265" s="7" t="str">
        <f t="shared" si="39"/>
        <v xml:space="preserve"> </v>
      </c>
      <c r="M265" s="7" t="str">
        <f t="shared" si="40"/>
        <v xml:space="preserve"> </v>
      </c>
    </row>
    <row r="266" spans="1:13">
      <c r="A266" s="71"/>
      <c r="B266" s="15" t="s">
        <v>4</v>
      </c>
      <c r="C266" s="74"/>
      <c r="D266" s="16"/>
      <c r="E266" s="57"/>
      <c r="F266" s="17"/>
      <c r="G266" s="60"/>
      <c r="H266" s="18" t="str">
        <f t="shared" si="41"/>
        <v xml:space="preserve"> </v>
      </c>
      <c r="I266" s="41"/>
      <c r="K266" s="7" t="str">
        <f t="shared" si="38"/>
        <v xml:space="preserve"> </v>
      </c>
      <c r="L266" s="7" t="str">
        <f t="shared" si="39"/>
        <v xml:space="preserve"> </v>
      </c>
      <c r="M266" s="7" t="str">
        <f t="shared" si="40"/>
        <v xml:space="preserve"> </v>
      </c>
    </row>
    <row r="267" spans="1:13">
      <c r="A267" s="71"/>
      <c r="B267" s="15" t="s">
        <v>4</v>
      </c>
      <c r="C267" s="74"/>
      <c r="D267" s="16"/>
      <c r="E267" s="57"/>
      <c r="F267" s="17"/>
      <c r="G267" s="60"/>
      <c r="H267" s="18" t="str">
        <f t="shared" si="41"/>
        <v xml:space="preserve"> </v>
      </c>
      <c r="I267" s="41"/>
      <c r="K267" s="7" t="str">
        <f t="shared" si="38"/>
        <v xml:space="preserve"> </v>
      </c>
      <c r="L267" s="7" t="str">
        <f t="shared" si="39"/>
        <v xml:space="preserve"> </v>
      </c>
      <c r="M267" s="7" t="str">
        <f t="shared" si="40"/>
        <v xml:space="preserve"> </v>
      </c>
    </row>
    <row r="268" spans="1:13">
      <c r="A268" s="71"/>
      <c r="B268" s="15" t="s">
        <v>4</v>
      </c>
      <c r="C268" s="74"/>
      <c r="D268" s="16"/>
      <c r="E268" s="57"/>
      <c r="F268" s="17"/>
      <c r="G268" s="60"/>
      <c r="H268" s="18" t="str">
        <f t="shared" si="41"/>
        <v xml:space="preserve"> </v>
      </c>
      <c r="I268" s="41"/>
      <c r="K268" s="7" t="str">
        <f t="shared" si="38"/>
        <v xml:space="preserve"> </v>
      </c>
      <c r="L268" s="7" t="str">
        <f t="shared" si="39"/>
        <v xml:space="preserve"> </v>
      </c>
      <c r="M268" s="7" t="str">
        <f t="shared" si="40"/>
        <v xml:space="preserve"> </v>
      </c>
    </row>
    <row r="269" spans="1:13">
      <c r="A269" s="71"/>
      <c r="B269" s="15" t="s">
        <v>4</v>
      </c>
      <c r="C269" s="74"/>
      <c r="D269" s="16"/>
      <c r="E269" s="57"/>
      <c r="F269" s="17"/>
      <c r="G269" s="60"/>
      <c r="H269" s="18" t="str">
        <f t="shared" si="41"/>
        <v xml:space="preserve"> </v>
      </c>
      <c r="I269" s="41"/>
      <c r="K269" s="7" t="str">
        <f t="shared" si="38"/>
        <v xml:space="preserve"> </v>
      </c>
      <c r="L269" s="7" t="str">
        <f t="shared" si="39"/>
        <v xml:space="preserve"> </v>
      </c>
      <c r="M269" s="7" t="str">
        <f t="shared" si="40"/>
        <v xml:space="preserve"> </v>
      </c>
    </row>
    <row r="270" spans="1:13">
      <c r="A270" s="71"/>
      <c r="B270" s="15" t="s">
        <v>4</v>
      </c>
      <c r="C270" s="74"/>
      <c r="D270" s="16"/>
      <c r="E270" s="57"/>
      <c r="F270" s="17"/>
      <c r="G270" s="60"/>
      <c r="H270" s="18" t="str">
        <f t="shared" si="41"/>
        <v xml:space="preserve"> </v>
      </c>
      <c r="I270" s="41"/>
      <c r="K270" s="7" t="str">
        <f t="shared" si="38"/>
        <v xml:space="preserve"> </v>
      </c>
      <c r="L270" s="7" t="str">
        <f t="shared" si="39"/>
        <v xml:space="preserve"> </v>
      </c>
      <c r="M270" s="7" t="str">
        <f t="shared" si="40"/>
        <v xml:space="preserve"> </v>
      </c>
    </row>
    <row r="271" spans="1:13">
      <c r="A271" s="71"/>
      <c r="B271" s="15" t="s">
        <v>4</v>
      </c>
      <c r="C271" s="74"/>
      <c r="D271" s="16"/>
      <c r="E271" s="57"/>
      <c r="F271" s="17"/>
      <c r="G271" s="60"/>
      <c r="H271" s="18" t="str">
        <f t="shared" si="41"/>
        <v xml:space="preserve"> </v>
      </c>
      <c r="I271" s="41"/>
      <c r="K271" s="7" t="str">
        <f t="shared" si="38"/>
        <v xml:space="preserve"> </v>
      </c>
      <c r="L271" s="7" t="str">
        <f t="shared" si="39"/>
        <v xml:space="preserve"> </v>
      </c>
      <c r="M271" s="7" t="str">
        <f t="shared" si="40"/>
        <v xml:space="preserve"> </v>
      </c>
    </row>
    <row r="272" spans="1:13">
      <c r="A272" s="71"/>
      <c r="B272" s="15" t="s">
        <v>4</v>
      </c>
      <c r="C272" s="74"/>
      <c r="D272" s="16"/>
      <c r="E272" s="57"/>
      <c r="F272" s="17"/>
      <c r="G272" s="60"/>
      <c r="H272" s="18" t="str">
        <f t="shared" si="41"/>
        <v xml:space="preserve"> </v>
      </c>
      <c r="I272" s="41"/>
      <c r="K272" s="7" t="str">
        <f t="shared" si="38"/>
        <v xml:space="preserve"> </v>
      </c>
      <c r="L272" s="7" t="str">
        <f t="shared" si="39"/>
        <v xml:space="preserve"> </v>
      </c>
      <c r="M272" s="7" t="str">
        <f t="shared" si="40"/>
        <v xml:space="preserve"> </v>
      </c>
    </row>
    <row r="273" spans="1:13" ht="13.5" thickBot="1">
      <c r="A273" s="72"/>
      <c r="B273" s="19" t="s">
        <v>4</v>
      </c>
      <c r="C273" s="75"/>
      <c r="D273" s="20"/>
      <c r="E273" s="58"/>
      <c r="F273" s="21"/>
      <c r="G273" s="61"/>
      <c r="H273" s="22" t="str">
        <f t="shared" si="41"/>
        <v xml:space="preserve"> </v>
      </c>
      <c r="I273" s="41"/>
      <c r="K273" s="7" t="str">
        <f t="shared" si="38"/>
        <v xml:space="preserve"> </v>
      </c>
      <c r="L273" s="7" t="str">
        <f t="shared" si="39"/>
        <v xml:space="preserve"> </v>
      </c>
      <c r="M273" s="7" t="str">
        <f t="shared" si="40"/>
        <v xml:space="preserve"> </v>
      </c>
    </row>
    <row r="274" spans="1:13">
      <c r="A274" s="70"/>
      <c r="B274" s="11" t="s">
        <v>4</v>
      </c>
      <c r="C274" s="73"/>
      <c r="D274" s="12"/>
      <c r="E274" s="56"/>
      <c r="F274" s="13"/>
      <c r="G274" s="59"/>
      <c r="H274" s="14" t="str">
        <f>IF(E274=""," ",IF(E274-G274&gt;0,1,IF(E274-G274&lt;0,2,"x")))</f>
        <v xml:space="preserve"> </v>
      </c>
      <c r="I274" s="41">
        <v>28</v>
      </c>
      <c r="K274" s="7" t="str">
        <f t="shared" si="38"/>
        <v xml:space="preserve"> </v>
      </c>
      <c r="L274" s="7" t="str">
        <f t="shared" si="39"/>
        <v xml:space="preserve"> </v>
      </c>
      <c r="M274" s="7" t="str">
        <f t="shared" si="40"/>
        <v xml:space="preserve"> </v>
      </c>
    </row>
    <row r="275" spans="1:13">
      <c r="A275" s="71"/>
      <c r="B275" s="15" t="s">
        <v>4</v>
      </c>
      <c r="C275" s="74"/>
      <c r="D275" s="16"/>
      <c r="E275" s="57"/>
      <c r="F275" s="17"/>
      <c r="G275" s="60"/>
      <c r="H275" s="18" t="str">
        <f t="shared" ref="H275:H283" si="42">IF(E275=""," ",IF(E275-G275&gt;0,1,IF(E275-G275&lt;0,2,"x")))</f>
        <v xml:space="preserve"> </v>
      </c>
      <c r="I275" s="41"/>
      <c r="K275" s="7" t="str">
        <f t="shared" si="38"/>
        <v xml:space="preserve"> </v>
      </c>
      <c r="L275" s="7" t="str">
        <f t="shared" si="39"/>
        <v xml:space="preserve"> </v>
      </c>
      <c r="M275" s="7" t="str">
        <f t="shared" si="40"/>
        <v xml:space="preserve"> </v>
      </c>
    </row>
    <row r="276" spans="1:13">
      <c r="A276" s="71"/>
      <c r="B276" s="15" t="s">
        <v>4</v>
      </c>
      <c r="C276" s="74"/>
      <c r="D276" s="16"/>
      <c r="E276" s="57"/>
      <c r="F276" s="17"/>
      <c r="G276" s="60"/>
      <c r="H276" s="18" t="str">
        <f t="shared" si="42"/>
        <v xml:space="preserve"> </v>
      </c>
      <c r="I276" s="41"/>
      <c r="K276" s="7" t="str">
        <f t="shared" si="38"/>
        <v xml:space="preserve"> </v>
      </c>
      <c r="L276" s="7" t="str">
        <f t="shared" si="39"/>
        <v xml:space="preserve"> </v>
      </c>
      <c r="M276" s="7" t="str">
        <f t="shared" si="40"/>
        <v xml:space="preserve"> </v>
      </c>
    </row>
    <row r="277" spans="1:13">
      <c r="A277" s="71"/>
      <c r="B277" s="15" t="s">
        <v>4</v>
      </c>
      <c r="C277" s="74"/>
      <c r="D277" s="16"/>
      <c r="E277" s="57"/>
      <c r="F277" s="17"/>
      <c r="G277" s="60"/>
      <c r="H277" s="18" t="str">
        <f t="shared" si="42"/>
        <v xml:space="preserve"> </v>
      </c>
      <c r="I277" s="41"/>
      <c r="K277" s="7" t="str">
        <f t="shared" si="38"/>
        <v xml:space="preserve"> </v>
      </c>
      <c r="L277" s="7" t="str">
        <f t="shared" si="39"/>
        <v xml:space="preserve"> </v>
      </c>
      <c r="M277" s="7" t="str">
        <f t="shared" si="40"/>
        <v xml:space="preserve"> </v>
      </c>
    </row>
    <row r="278" spans="1:13">
      <c r="A278" s="71"/>
      <c r="B278" s="15" t="s">
        <v>4</v>
      </c>
      <c r="C278" s="74"/>
      <c r="D278" s="16"/>
      <c r="E278" s="57"/>
      <c r="F278" s="17"/>
      <c r="G278" s="60"/>
      <c r="H278" s="18" t="str">
        <f t="shared" si="42"/>
        <v xml:space="preserve"> </v>
      </c>
      <c r="I278" s="41"/>
      <c r="K278" s="7" t="str">
        <f t="shared" si="38"/>
        <v xml:space="preserve"> </v>
      </c>
      <c r="L278" s="7" t="str">
        <f t="shared" si="39"/>
        <v xml:space="preserve"> </v>
      </c>
      <c r="M278" s="7" t="str">
        <f t="shared" si="40"/>
        <v xml:space="preserve"> </v>
      </c>
    </row>
    <row r="279" spans="1:13">
      <c r="A279" s="71"/>
      <c r="B279" s="15" t="s">
        <v>4</v>
      </c>
      <c r="C279" s="74"/>
      <c r="D279" s="16"/>
      <c r="E279" s="57"/>
      <c r="F279" s="17"/>
      <c r="G279" s="60"/>
      <c r="H279" s="18" t="str">
        <f t="shared" si="42"/>
        <v xml:space="preserve"> </v>
      </c>
      <c r="I279" s="41"/>
      <c r="K279" s="7" t="str">
        <f t="shared" si="38"/>
        <v xml:space="preserve"> </v>
      </c>
      <c r="L279" s="7" t="str">
        <f t="shared" si="39"/>
        <v xml:space="preserve"> </v>
      </c>
      <c r="M279" s="7" t="str">
        <f t="shared" si="40"/>
        <v xml:space="preserve"> </v>
      </c>
    </row>
    <row r="280" spans="1:13">
      <c r="A280" s="71"/>
      <c r="B280" s="15" t="s">
        <v>4</v>
      </c>
      <c r="C280" s="74"/>
      <c r="D280" s="16"/>
      <c r="E280" s="57"/>
      <c r="F280" s="17"/>
      <c r="G280" s="60"/>
      <c r="H280" s="18" t="str">
        <f t="shared" si="42"/>
        <v xml:space="preserve"> </v>
      </c>
      <c r="I280" s="41"/>
      <c r="K280" s="7" t="str">
        <f t="shared" si="38"/>
        <v xml:space="preserve"> </v>
      </c>
      <c r="L280" s="7" t="str">
        <f t="shared" si="39"/>
        <v xml:space="preserve"> </v>
      </c>
      <c r="M280" s="7" t="str">
        <f t="shared" si="40"/>
        <v xml:space="preserve"> </v>
      </c>
    </row>
    <row r="281" spans="1:13">
      <c r="A281" s="71"/>
      <c r="B281" s="15" t="s">
        <v>4</v>
      </c>
      <c r="C281" s="74"/>
      <c r="D281" s="16"/>
      <c r="E281" s="57"/>
      <c r="F281" s="17"/>
      <c r="G281" s="60"/>
      <c r="H281" s="18" t="str">
        <f t="shared" si="42"/>
        <v xml:space="preserve"> </v>
      </c>
      <c r="I281" s="41"/>
      <c r="K281" s="7" t="str">
        <f t="shared" si="38"/>
        <v xml:space="preserve"> </v>
      </c>
      <c r="L281" s="7" t="str">
        <f t="shared" si="39"/>
        <v xml:space="preserve"> </v>
      </c>
      <c r="M281" s="7" t="str">
        <f t="shared" si="40"/>
        <v xml:space="preserve"> </v>
      </c>
    </row>
    <row r="282" spans="1:13">
      <c r="A282" s="71"/>
      <c r="B282" s="15" t="s">
        <v>4</v>
      </c>
      <c r="C282" s="74"/>
      <c r="D282" s="16"/>
      <c r="E282" s="57"/>
      <c r="F282" s="17"/>
      <c r="G282" s="60"/>
      <c r="H282" s="18" t="str">
        <f t="shared" si="42"/>
        <v xml:space="preserve"> </v>
      </c>
      <c r="I282" s="41"/>
      <c r="K282" s="7" t="str">
        <f t="shared" si="38"/>
        <v xml:space="preserve"> </v>
      </c>
      <c r="L282" s="7" t="str">
        <f t="shared" si="39"/>
        <v xml:space="preserve"> </v>
      </c>
      <c r="M282" s="7" t="str">
        <f t="shared" si="40"/>
        <v xml:space="preserve"> </v>
      </c>
    </row>
    <row r="283" spans="1:13" ht="13.5" thickBot="1">
      <c r="A283" s="72"/>
      <c r="B283" s="19" t="s">
        <v>4</v>
      </c>
      <c r="C283" s="75"/>
      <c r="D283" s="20"/>
      <c r="E283" s="58"/>
      <c r="F283" s="21"/>
      <c r="G283" s="61"/>
      <c r="H283" s="22" t="str">
        <f t="shared" si="42"/>
        <v xml:space="preserve"> </v>
      </c>
      <c r="I283" s="41"/>
      <c r="K283" s="7" t="str">
        <f t="shared" si="38"/>
        <v xml:space="preserve"> </v>
      </c>
      <c r="L283" s="7" t="str">
        <f t="shared" si="39"/>
        <v xml:space="preserve"> </v>
      </c>
      <c r="M283" s="7" t="str">
        <f t="shared" si="40"/>
        <v xml:space="preserve"> </v>
      </c>
    </row>
    <row r="284" spans="1:13">
      <c r="A284" s="70"/>
      <c r="B284" s="11" t="s">
        <v>4</v>
      </c>
      <c r="C284" s="73"/>
      <c r="D284" s="12"/>
      <c r="E284" s="56"/>
      <c r="F284" s="13"/>
      <c r="G284" s="59"/>
      <c r="H284" s="14" t="str">
        <f>IF(E284=""," ",IF(E284-G284&gt;0,1,IF(E284-G284&lt;0,2,"x")))</f>
        <v xml:space="preserve"> </v>
      </c>
      <c r="I284" s="41">
        <v>29</v>
      </c>
      <c r="K284" s="7" t="str">
        <f t="shared" si="38"/>
        <v xml:space="preserve"> </v>
      </c>
      <c r="L284" s="7" t="str">
        <f t="shared" si="39"/>
        <v xml:space="preserve"> </v>
      </c>
      <c r="M284" s="7" t="str">
        <f t="shared" si="40"/>
        <v xml:space="preserve"> </v>
      </c>
    </row>
    <row r="285" spans="1:13">
      <c r="A285" s="71"/>
      <c r="B285" s="15" t="s">
        <v>4</v>
      </c>
      <c r="C285" s="74"/>
      <c r="D285" s="16"/>
      <c r="E285" s="57"/>
      <c r="F285" s="17"/>
      <c r="G285" s="60"/>
      <c r="H285" s="18" t="str">
        <f t="shared" ref="H285:H293" si="43">IF(E285=""," ",IF(E285-G285&gt;0,1,IF(E285-G285&lt;0,2,"x")))</f>
        <v xml:space="preserve"> </v>
      </c>
      <c r="I285" s="41"/>
      <c r="K285" s="7" t="str">
        <f t="shared" si="38"/>
        <v xml:space="preserve"> </v>
      </c>
      <c r="L285" s="7" t="str">
        <f t="shared" si="39"/>
        <v xml:space="preserve"> </v>
      </c>
      <c r="M285" s="7" t="str">
        <f t="shared" si="40"/>
        <v xml:space="preserve"> </v>
      </c>
    </row>
    <row r="286" spans="1:13">
      <c r="A286" s="71"/>
      <c r="B286" s="15" t="s">
        <v>4</v>
      </c>
      <c r="C286" s="74"/>
      <c r="D286" s="16"/>
      <c r="E286" s="57"/>
      <c r="F286" s="17"/>
      <c r="G286" s="60"/>
      <c r="H286" s="18" t="str">
        <f t="shared" si="43"/>
        <v xml:space="preserve"> </v>
      </c>
      <c r="I286" s="41"/>
      <c r="K286" s="7" t="str">
        <f t="shared" si="38"/>
        <v xml:space="preserve"> </v>
      </c>
      <c r="L286" s="7" t="str">
        <f t="shared" si="39"/>
        <v xml:space="preserve"> </v>
      </c>
      <c r="M286" s="7" t="str">
        <f t="shared" si="40"/>
        <v xml:space="preserve"> </v>
      </c>
    </row>
    <row r="287" spans="1:13">
      <c r="A287" s="71"/>
      <c r="B287" s="15" t="s">
        <v>4</v>
      </c>
      <c r="C287" s="74"/>
      <c r="D287" s="16"/>
      <c r="E287" s="57"/>
      <c r="F287" s="17"/>
      <c r="G287" s="60"/>
      <c r="H287" s="18" t="str">
        <f t="shared" si="43"/>
        <v xml:space="preserve"> </v>
      </c>
      <c r="I287" s="41"/>
      <c r="K287" s="7" t="str">
        <f t="shared" si="38"/>
        <v xml:space="preserve"> </v>
      </c>
      <c r="L287" s="7" t="str">
        <f t="shared" si="39"/>
        <v xml:space="preserve"> </v>
      </c>
      <c r="M287" s="7" t="str">
        <f t="shared" si="40"/>
        <v xml:space="preserve"> </v>
      </c>
    </row>
    <row r="288" spans="1:13">
      <c r="A288" s="71"/>
      <c r="B288" s="15" t="s">
        <v>4</v>
      </c>
      <c r="C288" s="74"/>
      <c r="D288" s="16"/>
      <c r="E288" s="57"/>
      <c r="F288" s="17"/>
      <c r="G288" s="60"/>
      <c r="H288" s="18" t="str">
        <f t="shared" si="43"/>
        <v xml:space="preserve"> </v>
      </c>
      <c r="I288" s="41"/>
      <c r="K288" s="7" t="str">
        <f t="shared" si="38"/>
        <v xml:space="preserve"> </v>
      </c>
      <c r="L288" s="7" t="str">
        <f t="shared" si="39"/>
        <v xml:space="preserve"> </v>
      </c>
      <c r="M288" s="7" t="str">
        <f t="shared" si="40"/>
        <v xml:space="preserve"> </v>
      </c>
    </row>
    <row r="289" spans="1:13">
      <c r="A289" s="71"/>
      <c r="B289" s="15" t="s">
        <v>4</v>
      </c>
      <c r="C289" s="74"/>
      <c r="D289" s="16"/>
      <c r="E289" s="57"/>
      <c r="F289" s="17"/>
      <c r="G289" s="60"/>
      <c r="H289" s="18" t="str">
        <f t="shared" si="43"/>
        <v xml:space="preserve"> </v>
      </c>
      <c r="I289" s="41"/>
      <c r="K289" s="7" t="str">
        <f t="shared" si="38"/>
        <v xml:space="preserve"> </v>
      </c>
      <c r="L289" s="7" t="str">
        <f t="shared" si="39"/>
        <v xml:space="preserve"> </v>
      </c>
      <c r="M289" s="7" t="str">
        <f t="shared" si="40"/>
        <v xml:space="preserve"> </v>
      </c>
    </row>
    <row r="290" spans="1:13">
      <c r="A290" s="71"/>
      <c r="B290" s="15" t="s">
        <v>4</v>
      </c>
      <c r="C290" s="74"/>
      <c r="D290" s="16"/>
      <c r="E290" s="57"/>
      <c r="F290" s="17"/>
      <c r="G290" s="60"/>
      <c r="H290" s="18" t="str">
        <f t="shared" si="43"/>
        <v xml:space="preserve"> </v>
      </c>
      <c r="I290" s="41"/>
      <c r="K290" s="7" t="str">
        <f t="shared" si="38"/>
        <v xml:space="preserve"> </v>
      </c>
      <c r="L290" s="7" t="str">
        <f t="shared" si="39"/>
        <v xml:space="preserve"> </v>
      </c>
      <c r="M290" s="7" t="str">
        <f t="shared" si="40"/>
        <v xml:space="preserve"> </v>
      </c>
    </row>
    <row r="291" spans="1:13">
      <c r="A291" s="71"/>
      <c r="B291" s="15" t="s">
        <v>4</v>
      </c>
      <c r="C291" s="74"/>
      <c r="D291" s="16"/>
      <c r="E291" s="57"/>
      <c r="F291" s="17"/>
      <c r="G291" s="60"/>
      <c r="H291" s="18" t="str">
        <f t="shared" si="43"/>
        <v xml:space="preserve"> </v>
      </c>
      <c r="I291" s="41"/>
      <c r="K291" s="7" t="str">
        <f t="shared" si="38"/>
        <v xml:space="preserve"> </v>
      </c>
      <c r="L291" s="7" t="str">
        <f t="shared" si="39"/>
        <v xml:space="preserve"> </v>
      </c>
      <c r="M291" s="7" t="str">
        <f t="shared" si="40"/>
        <v xml:space="preserve"> </v>
      </c>
    </row>
    <row r="292" spans="1:13">
      <c r="A292" s="71"/>
      <c r="B292" s="15" t="s">
        <v>4</v>
      </c>
      <c r="C292" s="74"/>
      <c r="D292" s="16"/>
      <c r="E292" s="57"/>
      <c r="F292" s="17"/>
      <c r="G292" s="60"/>
      <c r="H292" s="18" t="str">
        <f t="shared" si="43"/>
        <v xml:space="preserve"> </v>
      </c>
      <c r="I292" s="41"/>
      <c r="K292" s="7" t="str">
        <f t="shared" si="38"/>
        <v xml:space="preserve"> </v>
      </c>
      <c r="L292" s="7" t="str">
        <f t="shared" si="39"/>
        <v xml:space="preserve"> </v>
      </c>
      <c r="M292" s="7" t="str">
        <f t="shared" si="40"/>
        <v xml:space="preserve"> </v>
      </c>
    </row>
    <row r="293" spans="1:13" ht="13.5" thickBot="1">
      <c r="A293" s="72"/>
      <c r="B293" s="19" t="s">
        <v>4</v>
      </c>
      <c r="C293" s="75"/>
      <c r="D293" s="20"/>
      <c r="E293" s="58"/>
      <c r="F293" s="21"/>
      <c r="G293" s="61"/>
      <c r="H293" s="22" t="str">
        <f t="shared" si="43"/>
        <v xml:space="preserve"> </v>
      </c>
      <c r="I293" s="41"/>
      <c r="K293" s="7" t="str">
        <f t="shared" si="38"/>
        <v xml:space="preserve"> </v>
      </c>
      <c r="L293" s="7" t="str">
        <f t="shared" si="39"/>
        <v xml:space="preserve"> </v>
      </c>
      <c r="M293" s="7" t="str">
        <f t="shared" si="40"/>
        <v xml:space="preserve"> </v>
      </c>
    </row>
    <row r="294" spans="1:13">
      <c r="A294" s="70"/>
      <c r="B294" s="11" t="s">
        <v>4</v>
      </c>
      <c r="C294" s="73"/>
      <c r="D294" s="12"/>
      <c r="E294" s="56"/>
      <c r="F294" s="13"/>
      <c r="G294" s="59"/>
      <c r="H294" s="14" t="str">
        <f>IF(E294=""," ",IF(E294-G294&gt;0,1,IF(E294-G294&lt;0,2,"x")))</f>
        <v xml:space="preserve"> </v>
      </c>
      <c r="I294" s="41">
        <v>30</v>
      </c>
      <c r="K294" s="7" t="str">
        <f t="shared" si="38"/>
        <v xml:space="preserve"> </v>
      </c>
      <c r="L294" s="7" t="str">
        <f t="shared" si="39"/>
        <v xml:space="preserve"> </v>
      </c>
      <c r="M294" s="7" t="str">
        <f t="shared" si="40"/>
        <v xml:space="preserve"> </v>
      </c>
    </row>
    <row r="295" spans="1:13">
      <c r="A295" s="71"/>
      <c r="B295" s="15" t="s">
        <v>4</v>
      </c>
      <c r="C295" s="74"/>
      <c r="D295" s="16"/>
      <c r="E295" s="57"/>
      <c r="F295" s="17"/>
      <c r="G295" s="60"/>
      <c r="H295" s="18" t="str">
        <f t="shared" ref="H295:H303" si="44">IF(E295=""," ",IF(E295-G295&gt;0,1,IF(E295-G295&lt;0,2,"x")))</f>
        <v xml:space="preserve"> </v>
      </c>
      <c r="I295" s="41"/>
      <c r="K295" s="7" t="str">
        <f t="shared" si="38"/>
        <v xml:space="preserve"> </v>
      </c>
      <c r="L295" s="7" t="str">
        <f t="shared" si="39"/>
        <v xml:space="preserve"> </v>
      </c>
      <c r="M295" s="7" t="str">
        <f t="shared" si="40"/>
        <v xml:space="preserve"> </v>
      </c>
    </row>
    <row r="296" spans="1:13">
      <c r="A296" s="71"/>
      <c r="B296" s="15" t="s">
        <v>4</v>
      </c>
      <c r="C296" s="74"/>
      <c r="D296" s="16"/>
      <c r="E296" s="57"/>
      <c r="F296" s="17"/>
      <c r="G296" s="60"/>
      <c r="H296" s="18" t="str">
        <f t="shared" si="44"/>
        <v xml:space="preserve"> </v>
      </c>
      <c r="I296" s="41"/>
      <c r="K296" s="7" t="str">
        <f t="shared" si="38"/>
        <v xml:space="preserve"> </v>
      </c>
      <c r="L296" s="7" t="str">
        <f t="shared" si="39"/>
        <v xml:space="preserve"> </v>
      </c>
      <c r="M296" s="7" t="str">
        <f t="shared" si="40"/>
        <v xml:space="preserve"> </v>
      </c>
    </row>
    <row r="297" spans="1:13">
      <c r="A297" s="71"/>
      <c r="B297" s="15" t="s">
        <v>4</v>
      </c>
      <c r="C297" s="74"/>
      <c r="D297" s="16"/>
      <c r="E297" s="57"/>
      <c r="F297" s="17"/>
      <c r="G297" s="60"/>
      <c r="H297" s="18" t="str">
        <f t="shared" si="44"/>
        <v xml:space="preserve"> </v>
      </c>
      <c r="I297" s="41"/>
      <c r="K297" s="7" t="str">
        <f t="shared" si="38"/>
        <v xml:space="preserve"> </v>
      </c>
      <c r="L297" s="7" t="str">
        <f t="shared" si="39"/>
        <v xml:space="preserve"> </v>
      </c>
      <c r="M297" s="7" t="str">
        <f t="shared" si="40"/>
        <v xml:space="preserve"> </v>
      </c>
    </row>
    <row r="298" spans="1:13">
      <c r="A298" s="71"/>
      <c r="B298" s="15" t="s">
        <v>4</v>
      </c>
      <c r="C298" s="74"/>
      <c r="D298" s="16"/>
      <c r="E298" s="57"/>
      <c r="F298" s="17"/>
      <c r="G298" s="60"/>
      <c r="H298" s="18" t="str">
        <f t="shared" si="44"/>
        <v xml:space="preserve"> </v>
      </c>
      <c r="I298" s="41"/>
      <c r="K298" s="7" t="str">
        <f t="shared" si="38"/>
        <v xml:space="preserve"> </v>
      </c>
      <c r="L298" s="7" t="str">
        <f t="shared" si="39"/>
        <v xml:space="preserve"> </v>
      </c>
      <c r="M298" s="7" t="str">
        <f t="shared" si="40"/>
        <v xml:space="preserve"> </v>
      </c>
    </row>
    <row r="299" spans="1:13">
      <c r="A299" s="71"/>
      <c r="B299" s="15" t="s">
        <v>4</v>
      </c>
      <c r="C299" s="74"/>
      <c r="D299" s="16"/>
      <c r="E299" s="57"/>
      <c r="F299" s="17"/>
      <c r="G299" s="60"/>
      <c r="H299" s="18" t="str">
        <f t="shared" si="44"/>
        <v xml:space="preserve"> </v>
      </c>
      <c r="I299" s="41"/>
      <c r="K299" s="7" t="str">
        <f t="shared" si="38"/>
        <v xml:space="preserve"> </v>
      </c>
      <c r="L299" s="7" t="str">
        <f t="shared" si="39"/>
        <v xml:space="preserve"> </v>
      </c>
      <c r="M299" s="7" t="str">
        <f t="shared" si="40"/>
        <v xml:space="preserve"> </v>
      </c>
    </row>
    <row r="300" spans="1:13">
      <c r="A300" s="71"/>
      <c r="B300" s="15" t="s">
        <v>4</v>
      </c>
      <c r="C300" s="74"/>
      <c r="D300" s="16"/>
      <c r="E300" s="57"/>
      <c r="F300" s="17"/>
      <c r="G300" s="60"/>
      <c r="H300" s="18" t="str">
        <f t="shared" si="44"/>
        <v xml:space="preserve"> </v>
      </c>
      <c r="I300" s="41"/>
      <c r="K300" s="7" t="str">
        <f t="shared" si="38"/>
        <v xml:space="preserve"> </v>
      </c>
      <c r="L300" s="7" t="str">
        <f t="shared" si="39"/>
        <v xml:space="preserve"> </v>
      </c>
      <c r="M300" s="7" t="str">
        <f t="shared" si="40"/>
        <v xml:space="preserve"> </v>
      </c>
    </row>
    <row r="301" spans="1:13">
      <c r="A301" s="71"/>
      <c r="B301" s="15" t="s">
        <v>4</v>
      </c>
      <c r="C301" s="74"/>
      <c r="D301" s="16"/>
      <c r="E301" s="57"/>
      <c r="F301" s="17"/>
      <c r="G301" s="60"/>
      <c r="H301" s="18" t="str">
        <f t="shared" si="44"/>
        <v xml:space="preserve"> </v>
      </c>
      <c r="I301" s="41"/>
      <c r="K301" s="7" t="str">
        <f t="shared" si="38"/>
        <v xml:space="preserve"> </v>
      </c>
      <c r="L301" s="7" t="str">
        <f t="shared" si="39"/>
        <v xml:space="preserve"> </v>
      </c>
      <c r="M301" s="7" t="str">
        <f t="shared" si="40"/>
        <v xml:space="preserve"> </v>
      </c>
    </row>
    <row r="302" spans="1:13">
      <c r="A302" s="71"/>
      <c r="B302" s="15" t="s">
        <v>4</v>
      </c>
      <c r="C302" s="74"/>
      <c r="D302" s="16"/>
      <c r="E302" s="57"/>
      <c r="F302" s="17"/>
      <c r="G302" s="60"/>
      <c r="H302" s="18" t="str">
        <f t="shared" si="44"/>
        <v xml:space="preserve"> </v>
      </c>
      <c r="I302" s="41"/>
      <c r="K302" s="7" t="str">
        <f t="shared" si="38"/>
        <v xml:space="preserve"> </v>
      </c>
      <c r="L302" s="7" t="str">
        <f t="shared" si="39"/>
        <v xml:space="preserve"> </v>
      </c>
      <c r="M302" s="7" t="str">
        <f t="shared" si="40"/>
        <v xml:space="preserve"> </v>
      </c>
    </row>
    <row r="303" spans="1:13" ht="13.5" thickBot="1">
      <c r="A303" s="72"/>
      <c r="B303" s="19" t="s">
        <v>4</v>
      </c>
      <c r="C303" s="75"/>
      <c r="D303" s="20"/>
      <c r="E303" s="58"/>
      <c r="F303" s="21"/>
      <c r="G303" s="61"/>
      <c r="H303" s="22" t="str">
        <f t="shared" si="44"/>
        <v xml:space="preserve"> </v>
      </c>
      <c r="I303" s="41"/>
      <c r="K303" s="7" t="str">
        <f t="shared" si="38"/>
        <v xml:space="preserve"> </v>
      </c>
      <c r="L303" s="7" t="str">
        <f t="shared" si="39"/>
        <v xml:space="preserve"> </v>
      </c>
      <c r="M303" s="7" t="str">
        <f t="shared" si="40"/>
        <v xml:space="preserve"> </v>
      </c>
    </row>
    <row r="304" spans="1:13">
      <c r="A304" s="70"/>
      <c r="B304" s="11" t="s">
        <v>4</v>
      </c>
      <c r="C304" s="73"/>
      <c r="D304" s="12"/>
      <c r="E304" s="56"/>
      <c r="F304" s="13"/>
      <c r="G304" s="59"/>
      <c r="H304" s="14" t="str">
        <f>IF(E304=""," ",IF(E304-G304&gt;0,1,IF(E304-G304&lt;0,2,"x")))</f>
        <v xml:space="preserve"> </v>
      </c>
      <c r="I304" s="41">
        <v>31</v>
      </c>
      <c r="K304" s="7" t="str">
        <f t="shared" si="38"/>
        <v xml:space="preserve"> </v>
      </c>
      <c r="L304" s="7" t="str">
        <f t="shared" si="39"/>
        <v xml:space="preserve"> </v>
      </c>
      <c r="M304" s="7" t="str">
        <f t="shared" si="40"/>
        <v xml:space="preserve"> </v>
      </c>
    </row>
    <row r="305" spans="1:13">
      <c r="A305" s="71"/>
      <c r="B305" s="15" t="s">
        <v>4</v>
      </c>
      <c r="C305" s="74"/>
      <c r="D305" s="16"/>
      <c r="E305" s="57"/>
      <c r="F305" s="17"/>
      <c r="G305" s="60"/>
      <c r="H305" s="18" t="str">
        <f t="shared" ref="H305:H313" si="45">IF(E305=""," ",IF(E305-G305&gt;0,1,IF(E305-G305&lt;0,2,"x")))</f>
        <v xml:space="preserve"> </v>
      </c>
      <c r="I305" s="41"/>
      <c r="K305" s="7" t="str">
        <f t="shared" si="38"/>
        <v xml:space="preserve"> </v>
      </c>
      <c r="L305" s="7" t="str">
        <f t="shared" si="39"/>
        <v xml:space="preserve"> </v>
      </c>
      <c r="M305" s="7" t="str">
        <f t="shared" si="40"/>
        <v xml:space="preserve"> </v>
      </c>
    </row>
    <row r="306" spans="1:13">
      <c r="A306" s="71"/>
      <c r="B306" s="15" t="s">
        <v>4</v>
      </c>
      <c r="C306" s="74"/>
      <c r="D306" s="16"/>
      <c r="E306" s="57"/>
      <c r="F306" s="17"/>
      <c r="G306" s="60"/>
      <c r="H306" s="18" t="str">
        <f t="shared" si="45"/>
        <v xml:space="preserve"> </v>
      </c>
      <c r="I306" s="41"/>
      <c r="K306" s="7" t="str">
        <f t="shared" si="38"/>
        <v xml:space="preserve"> </v>
      </c>
      <c r="L306" s="7" t="str">
        <f t="shared" si="39"/>
        <v xml:space="preserve"> </v>
      </c>
      <c r="M306" s="7" t="str">
        <f t="shared" si="40"/>
        <v xml:space="preserve"> </v>
      </c>
    </row>
    <row r="307" spans="1:13">
      <c r="A307" s="71"/>
      <c r="B307" s="15" t="s">
        <v>4</v>
      </c>
      <c r="C307" s="74"/>
      <c r="D307" s="16"/>
      <c r="E307" s="57"/>
      <c r="F307" s="17"/>
      <c r="G307" s="60"/>
      <c r="H307" s="18" t="str">
        <f t="shared" si="45"/>
        <v xml:space="preserve"> </v>
      </c>
      <c r="I307" s="41"/>
      <c r="K307" s="7" t="str">
        <f t="shared" si="38"/>
        <v xml:space="preserve"> </v>
      </c>
      <c r="L307" s="7" t="str">
        <f t="shared" si="39"/>
        <v xml:space="preserve"> </v>
      </c>
      <c r="M307" s="7" t="str">
        <f t="shared" si="40"/>
        <v xml:space="preserve"> </v>
      </c>
    </row>
    <row r="308" spans="1:13">
      <c r="A308" s="71"/>
      <c r="B308" s="15" t="s">
        <v>4</v>
      </c>
      <c r="C308" s="74"/>
      <c r="D308" s="16"/>
      <c r="E308" s="57"/>
      <c r="F308" s="17"/>
      <c r="G308" s="60"/>
      <c r="H308" s="18" t="str">
        <f t="shared" si="45"/>
        <v xml:space="preserve"> </v>
      </c>
      <c r="I308" s="41"/>
      <c r="K308" s="7" t="str">
        <f t="shared" si="38"/>
        <v xml:space="preserve"> </v>
      </c>
      <c r="L308" s="7" t="str">
        <f t="shared" si="39"/>
        <v xml:space="preserve"> </v>
      </c>
      <c r="M308" s="7" t="str">
        <f t="shared" si="40"/>
        <v xml:space="preserve"> </v>
      </c>
    </row>
    <row r="309" spans="1:13">
      <c r="A309" s="71"/>
      <c r="B309" s="15" t="s">
        <v>4</v>
      </c>
      <c r="C309" s="74"/>
      <c r="D309" s="16"/>
      <c r="E309" s="57"/>
      <c r="F309" s="17"/>
      <c r="G309" s="60"/>
      <c r="H309" s="18" t="str">
        <f t="shared" si="45"/>
        <v xml:space="preserve"> </v>
      </c>
      <c r="I309" s="41"/>
      <c r="K309" s="7" t="str">
        <f t="shared" si="38"/>
        <v xml:space="preserve"> </v>
      </c>
      <c r="L309" s="7" t="str">
        <f t="shared" si="39"/>
        <v xml:space="preserve"> </v>
      </c>
      <c r="M309" s="7" t="str">
        <f t="shared" si="40"/>
        <v xml:space="preserve"> </v>
      </c>
    </row>
    <row r="310" spans="1:13">
      <c r="A310" s="71"/>
      <c r="B310" s="15" t="s">
        <v>4</v>
      </c>
      <c r="C310" s="74"/>
      <c r="D310" s="16"/>
      <c r="E310" s="57"/>
      <c r="F310" s="17"/>
      <c r="G310" s="60"/>
      <c r="H310" s="18" t="str">
        <f t="shared" si="45"/>
        <v xml:space="preserve"> </v>
      </c>
      <c r="I310" s="41"/>
      <c r="K310" s="7" t="str">
        <f t="shared" si="38"/>
        <v xml:space="preserve"> </v>
      </c>
      <c r="L310" s="7" t="str">
        <f t="shared" si="39"/>
        <v xml:space="preserve"> </v>
      </c>
      <c r="M310" s="7" t="str">
        <f t="shared" si="40"/>
        <v xml:space="preserve"> </v>
      </c>
    </row>
    <row r="311" spans="1:13">
      <c r="A311" s="71"/>
      <c r="B311" s="15" t="s">
        <v>4</v>
      </c>
      <c r="C311" s="74"/>
      <c r="D311" s="16"/>
      <c r="E311" s="57"/>
      <c r="F311" s="17"/>
      <c r="G311" s="60"/>
      <c r="H311" s="18" t="str">
        <f t="shared" si="45"/>
        <v xml:space="preserve"> </v>
      </c>
      <c r="I311" s="41"/>
      <c r="K311" s="7" t="str">
        <f t="shared" si="38"/>
        <v xml:space="preserve"> </v>
      </c>
      <c r="L311" s="7" t="str">
        <f t="shared" si="39"/>
        <v xml:space="preserve"> </v>
      </c>
      <c r="M311" s="7" t="str">
        <f t="shared" si="40"/>
        <v xml:space="preserve"> </v>
      </c>
    </row>
    <row r="312" spans="1:13">
      <c r="A312" s="71"/>
      <c r="B312" s="15" t="s">
        <v>4</v>
      </c>
      <c r="C312" s="74"/>
      <c r="D312" s="16"/>
      <c r="E312" s="57"/>
      <c r="F312" s="17"/>
      <c r="G312" s="60"/>
      <c r="H312" s="18" t="str">
        <f t="shared" si="45"/>
        <v xml:space="preserve"> </v>
      </c>
      <c r="I312" s="41"/>
      <c r="K312" s="7" t="str">
        <f t="shared" si="38"/>
        <v xml:space="preserve"> </v>
      </c>
      <c r="L312" s="7" t="str">
        <f t="shared" si="39"/>
        <v xml:space="preserve"> </v>
      </c>
      <c r="M312" s="7" t="str">
        <f t="shared" si="40"/>
        <v xml:space="preserve"> </v>
      </c>
    </row>
    <row r="313" spans="1:13" ht="13.5" thickBot="1">
      <c r="A313" s="72"/>
      <c r="B313" s="19" t="s">
        <v>4</v>
      </c>
      <c r="C313" s="75"/>
      <c r="D313" s="20"/>
      <c r="E313" s="58"/>
      <c r="F313" s="21"/>
      <c r="G313" s="61"/>
      <c r="H313" s="22" t="str">
        <f t="shared" si="45"/>
        <v xml:space="preserve"> </v>
      </c>
      <c r="I313" s="41"/>
      <c r="K313" s="7" t="str">
        <f t="shared" si="38"/>
        <v xml:space="preserve"> </v>
      </c>
      <c r="L313" s="7" t="str">
        <f t="shared" si="39"/>
        <v xml:space="preserve"> </v>
      </c>
      <c r="M313" s="7" t="str">
        <f t="shared" si="40"/>
        <v xml:space="preserve"> </v>
      </c>
    </row>
    <row r="314" spans="1:13">
      <c r="A314" s="70"/>
      <c r="B314" s="11" t="s">
        <v>4</v>
      </c>
      <c r="C314" s="73"/>
      <c r="D314" s="12"/>
      <c r="E314" s="56"/>
      <c r="F314" s="13"/>
      <c r="G314" s="59"/>
      <c r="H314" s="14" t="str">
        <f>IF(E314=""," ",IF(E314-G314&gt;0,1,IF(E314-G314&lt;0,2,"x")))</f>
        <v xml:space="preserve"> </v>
      </c>
      <c r="I314" s="41">
        <v>32</v>
      </c>
      <c r="K314" s="7" t="str">
        <f t="shared" si="38"/>
        <v xml:space="preserve"> </v>
      </c>
      <c r="L314" s="7" t="str">
        <f t="shared" si="39"/>
        <v xml:space="preserve"> </v>
      </c>
      <c r="M314" s="7" t="str">
        <f t="shared" si="40"/>
        <v xml:space="preserve"> </v>
      </c>
    </row>
    <row r="315" spans="1:13">
      <c r="A315" s="71"/>
      <c r="B315" s="15" t="s">
        <v>4</v>
      </c>
      <c r="C315" s="74"/>
      <c r="D315" s="16"/>
      <c r="E315" s="57"/>
      <c r="F315" s="17"/>
      <c r="G315" s="60"/>
      <c r="H315" s="18" t="str">
        <f t="shared" ref="H315:H323" si="46">IF(E315=""," ",IF(E315-G315&gt;0,1,IF(E315-G315&lt;0,2,"x")))</f>
        <v xml:space="preserve"> </v>
      </c>
      <c r="I315" s="41"/>
      <c r="K315" s="7" t="str">
        <f t="shared" si="38"/>
        <v xml:space="preserve"> </v>
      </c>
      <c r="L315" s="7" t="str">
        <f t="shared" si="39"/>
        <v xml:space="preserve"> </v>
      </c>
      <c r="M315" s="7" t="str">
        <f t="shared" si="40"/>
        <v xml:space="preserve"> </v>
      </c>
    </row>
    <row r="316" spans="1:13">
      <c r="A316" s="71"/>
      <c r="B316" s="15" t="s">
        <v>4</v>
      </c>
      <c r="C316" s="74"/>
      <c r="D316" s="16"/>
      <c r="E316" s="57"/>
      <c r="F316" s="17"/>
      <c r="G316" s="60"/>
      <c r="H316" s="18" t="str">
        <f t="shared" si="46"/>
        <v xml:space="preserve"> </v>
      </c>
      <c r="I316" s="41"/>
      <c r="K316" s="7" t="str">
        <f t="shared" si="38"/>
        <v xml:space="preserve"> </v>
      </c>
      <c r="L316" s="7" t="str">
        <f t="shared" si="39"/>
        <v xml:space="preserve"> </v>
      </c>
      <c r="M316" s="7" t="str">
        <f t="shared" si="40"/>
        <v xml:space="preserve"> </v>
      </c>
    </row>
    <row r="317" spans="1:13">
      <c r="A317" s="71"/>
      <c r="B317" s="15" t="s">
        <v>4</v>
      </c>
      <c r="C317" s="74"/>
      <c r="D317" s="16"/>
      <c r="E317" s="57"/>
      <c r="F317" s="17"/>
      <c r="G317" s="60"/>
      <c r="H317" s="18" t="str">
        <f t="shared" si="46"/>
        <v xml:space="preserve"> </v>
      </c>
      <c r="I317" s="41"/>
      <c r="K317" s="7" t="str">
        <f t="shared" si="38"/>
        <v xml:space="preserve"> </v>
      </c>
      <c r="L317" s="7" t="str">
        <f t="shared" si="39"/>
        <v xml:space="preserve"> </v>
      </c>
      <c r="M317" s="7" t="str">
        <f t="shared" si="40"/>
        <v xml:space="preserve"> </v>
      </c>
    </row>
    <row r="318" spans="1:13">
      <c r="A318" s="71"/>
      <c r="B318" s="15" t="s">
        <v>4</v>
      </c>
      <c r="C318" s="74"/>
      <c r="D318" s="16"/>
      <c r="E318" s="57"/>
      <c r="F318" s="17"/>
      <c r="G318" s="60"/>
      <c r="H318" s="18" t="str">
        <f t="shared" si="46"/>
        <v xml:space="preserve"> </v>
      </c>
      <c r="I318" s="41"/>
      <c r="K318" s="7" t="str">
        <f t="shared" si="38"/>
        <v xml:space="preserve"> </v>
      </c>
      <c r="L318" s="7" t="str">
        <f t="shared" si="39"/>
        <v xml:space="preserve"> </v>
      </c>
      <c r="M318" s="7" t="str">
        <f t="shared" si="40"/>
        <v xml:space="preserve"> </v>
      </c>
    </row>
    <row r="319" spans="1:13">
      <c r="A319" s="71"/>
      <c r="B319" s="15" t="s">
        <v>4</v>
      </c>
      <c r="C319" s="74"/>
      <c r="D319" s="16"/>
      <c r="E319" s="57"/>
      <c r="F319" s="17"/>
      <c r="G319" s="60"/>
      <c r="H319" s="18" t="str">
        <f t="shared" si="46"/>
        <v xml:space="preserve"> </v>
      </c>
      <c r="I319" s="41"/>
      <c r="K319" s="7" t="str">
        <f t="shared" si="38"/>
        <v xml:space="preserve"> </v>
      </c>
      <c r="L319" s="7" t="str">
        <f t="shared" si="39"/>
        <v xml:space="preserve"> </v>
      </c>
      <c r="M319" s="7" t="str">
        <f t="shared" si="40"/>
        <v xml:space="preserve"> </v>
      </c>
    </row>
    <row r="320" spans="1:13">
      <c r="A320" s="71"/>
      <c r="B320" s="15" t="s">
        <v>4</v>
      </c>
      <c r="C320" s="74"/>
      <c r="D320" s="16"/>
      <c r="E320" s="57"/>
      <c r="F320" s="17"/>
      <c r="G320" s="60"/>
      <c r="H320" s="18" t="str">
        <f t="shared" si="46"/>
        <v xml:space="preserve"> </v>
      </c>
      <c r="I320" s="41"/>
      <c r="K320" s="7" t="str">
        <f t="shared" si="38"/>
        <v xml:space="preserve"> </v>
      </c>
      <c r="L320" s="7" t="str">
        <f t="shared" si="39"/>
        <v xml:space="preserve"> </v>
      </c>
      <c r="M320" s="7" t="str">
        <f t="shared" si="40"/>
        <v xml:space="preserve"> </v>
      </c>
    </row>
    <row r="321" spans="1:13">
      <c r="A321" s="71"/>
      <c r="B321" s="15" t="s">
        <v>4</v>
      </c>
      <c r="C321" s="74"/>
      <c r="D321" s="16"/>
      <c r="E321" s="57"/>
      <c r="F321" s="17"/>
      <c r="G321" s="60"/>
      <c r="H321" s="18" t="str">
        <f t="shared" si="46"/>
        <v xml:space="preserve"> </v>
      </c>
      <c r="I321" s="41"/>
      <c r="K321" s="7" t="str">
        <f t="shared" si="38"/>
        <v xml:space="preserve"> </v>
      </c>
      <c r="L321" s="7" t="str">
        <f t="shared" si="39"/>
        <v xml:space="preserve"> </v>
      </c>
      <c r="M321" s="7" t="str">
        <f t="shared" si="40"/>
        <v xml:space="preserve"> </v>
      </c>
    </row>
    <row r="322" spans="1:13">
      <c r="A322" s="71"/>
      <c r="B322" s="15" t="s">
        <v>4</v>
      </c>
      <c r="C322" s="74"/>
      <c r="D322" s="16"/>
      <c r="E322" s="57"/>
      <c r="F322" s="17"/>
      <c r="G322" s="60"/>
      <c r="H322" s="18" t="str">
        <f t="shared" si="46"/>
        <v xml:space="preserve"> </v>
      </c>
      <c r="I322" s="41"/>
      <c r="K322" s="7" t="str">
        <f t="shared" si="38"/>
        <v xml:space="preserve"> </v>
      </c>
      <c r="L322" s="7" t="str">
        <f t="shared" si="39"/>
        <v xml:space="preserve"> </v>
      </c>
      <c r="M322" s="7" t="str">
        <f t="shared" si="40"/>
        <v xml:space="preserve"> </v>
      </c>
    </row>
    <row r="323" spans="1:13" ht="13.5" thickBot="1">
      <c r="A323" s="72"/>
      <c r="B323" s="19" t="s">
        <v>4</v>
      </c>
      <c r="C323" s="75"/>
      <c r="D323" s="20"/>
      <c r="E323" s="58"/>
      <c r="F323" s="21"/>
      <c r="G323" s="61"/>
      <c r="H323" s="22" t="str">
        <f t="shared" si="46"/>
        <v xml:space="preserve"> </v>
      </c>
      <c r="I323" s="41"/>
      <c r="K323" s="7" t="str">
        <f t="shared" si="38"/>
        <v xml:space="preserve"> </v>
      </c>
      <c r="L323" s="7" t="str">
        <f t="shared" si="39"/>
        <v xml:space="preserve"> </v>
      </c>
      <c r="M323" s="7" t="str">
        <f t="shared" si="40"/>
        <v xml:space="preserve"> </v>
      </c>
    </row>
    <row r="324" spans="1:13">
      <c r="A324" s="70"/>
      <c r="B324" s="11" t="s">
        <v>4</v>
      </c>
      <c r="C324" s="73"/>
      <c r="D324" s="12"/>
      <c r="E324" s="56"/>
      <c r="F324" s="13"/>
      <c r="G324" s="59"/>
      <c r="H324" s="14" t="str">
        <f>IF(E324=""," ",IF(E324-G324&gt;0,1,IF(E324-G324&lt;0,2,"x")))</f>
        <v xml:space="preserve"> </v>
      </c>
      <c r="I324" s="41">
        <v>33</v>
      </c>
      <c r="K324" s="7" t="str">
        <f t="shared" si="38"/>
        <v xml:space="preserve"> </v>
      </c>
      <c r="L324" s="7" t="str">
        <f t="shared" si="39"/>
        <v xml:space="preserve"> </v>
      </c>
      <c r="M324" s="7" t="str">
        <f t="shared" si="40"/>
        <v xml:space="preserve"> </v>
      </c>
    </row>
    <row r="325" spans="1:13">
      <c r="A325" s="71"/>
      <c r="B325" s="15" t="s">
        <v>4</v>
      </c>
      <c r="C325" s="74"/>
      <c r="D325" s="16"/>
      <c r="E325" s="57"/>
      <c r="F325" s="17"/>
      <c r="G325" s="60"/>
      <c r="H325" s="18" t="str">
        <f t="shared" ref="H325:H333" si="47">IF(E325=""," ",IF(E325-G325&gt;0,1,IF(E325-G325&lt;0,2,"x")))</f>
        <v xml:space="preserve"> </v>
      </c>
      <c r="I325" s="41"/>
      <c r="K325" s="7" t="str">
        <f t="shared" ref="K325:K383" si="48">IF(E325=""," ",IF(E325-G325&gt;0,1,0))</f>
        <v xml:space="preserve"> </v>
      </c>
      <c r="L325" s="7" t="str">
        <f t="shared" ref="L325:L383" si="49">IF(E325=""," ",IF(E325-G325=0,1,0))</f>
        <v xml:space="preserve"> </v>
      </c>
      <c r="M325" s="7" t="str">
        <f t="shared" ref="M325:M383" si="50">IF(E325=""," ",IF(E325-G325&lt;0,1,0))</f>
        <v xml:space="preserve"> </v>
      </c>
    </row>
    <row r="326" spans="1:13">
      <c r="A326" s="71"/>
      <c r="B326" s="15" t="s">
        <v>4</v>
      </c>
      <c r="C326" s="74"/>
      <c r="D326" s="16"/>
      <c r="E326" s="57"/>
      <c r="F326" s="17"/>
      <c r="G326" s="60"/>
      <c r="H326" s="18" t="str">
        <f t="shared" si="47"/>
        <v xml:space="preserve"> </v>
      </c>
      <c r="I326" s="41"/>
      <c r="K326" s="7" t="str">
        <f t="shared" si="48"/>
        <v xml:space="preserve"> </v>
      </c>
      <c r="L326" s="7" t="str">
        <f t="shared" si="49"/>
        <v xml:space="preserve"> </v>
      </c>
      <c r="M326" s="7" t="str">
        <f t="shared" si="50"/>
        <v xml:space="preserve"> </v>
      </c>
    </row>
    <row r="327" spans="1:13">
      <c r="A327" s="71"/>
      <c r="B327" s="15" t="s">
        <v>4</v>
      </c>
      <c r="C327" s="74"/>
      <c r="D327" s="16"/>
      <c r="E327" s="57"/>
      <c r="F327" s="17"/>
      <c r="G327" s="60"/>
      <c r="H327" s="18" t="str">
        <f t="shared" si="47"/>
        <v xml:space="preserve"> </v>
      </c>
      <c r="I327" s="41"/>
      <c r="K327" s="7" t="str">
        <f t="shared" si="48"/>
        <v xml:space="preserve"> </v>
      </c>
      <c r="L327" s="7" t="str">
        <f t="shared" si="49"/>
        <v xml:space="preserve"> </v>
      </c>
      <c r="M327" s="7" t="str">
        <f t="shared" si="50"/>
        <v xml:space="preserve"> </v>
      </c>
    </row>
    <row r="328" spans="1:13">
      <c r="A328" s="71"/>
      <c r="B328" s="15" t="s">
        <v>4</v>
      </c>
      <c r="C328" s="74"/>
      <c r="D328" s="16"/>
      <c r="E328" s="57"/>
      <c r="F328" s="17"/>
      <c r="G328" s="60"/>
      <c r="H328" s="18" t="str">
        <f t="shared" si="47"/>
        <v xml:space="preserve"> </v>
      </c>
      <c r="I328" s="41"/>
      <c r="K328" s="7" t="str">
        <f t="shared" si="48"/>
        <v xml:space="preserve"> </v>
      </c>
      <c r="L328" s="7" t="str">
        <f t="shared" si="49"/>
        <v xml:space="preserve"> </v>
      </c>
      <c r="M328" s="7" t="str">
        <f t="shared" si="50"/>
        <v xml:space="preserve"> </v>
      </c>
    </row>
    <row r="329" spans="1:13">
      <c r="A329" s="71"/>
      <c r="B329" s="15" t="s">
        <v>4</v>
      </c>
      <c r="C329" s="74"/>
      <c r="D329" s="16"/>
      <c r="E329" s="57"/>
      <c r="F329" s="17"/>
      <c r="G329" s="60"/>
      <c r="H329" s="18" t="str">
        <f t="shared" si="47"/>
        <v xml:space="preserve"> </v>
      </c>
      <c r="I329" s="41"/>
      <c r="K329" s="7" t="str">
        <f t="shared" si="48"/>
        <v xml:space="preserve"> </v>
      </c>
      <c r="L329" s="7" t="str">
        <f t="shared" si="49"/>
        <v xml:space="preserve"> </v>
      </c>
      <c r="M329" s="7" t="str">
        <f t="shared" si="50"/>
        <v xml:space="preserve"> </v>
      </c>
    </row>
    <row r="330" spans="1:13">
      <c r="A330" s="71"/>
      <c r="B330" s="15" t="s">
        <v>4</v>
      </c>
      <c r="C330" s="74"/>
      <c r="D330" s="16"/>
      <c r="E330" s="57"/>
      <c r="F330" s="17"/>
      <c r="G330" s="60"/>
      <c r="H330" s="18" t="str">
        <f t="shared" si="47"/>
        <v xml:space="preserve"> </v>
      </c>
      <c r="I330" s="41"/>
      <c r="K330" s="7" t="str">
        <f t="shared" si="48"/>
        <v xml:space="preserve"> </v>
      </c>
      <c r="L330" s="7" t="str">
        <f t="shared" si="49"/>
        <v xml:space="preserve"> </v>
      </c>
      <c r="M330" s="7" t="str">
        <f t="shared" si="50"/>
        <v xml:space="preserve"> </v>
      </c>
    </row>
    <row r="331" spans="1:13">
      <c r="A331" s="71"/>
      <c r="B331" s="15" t="s">
        <v>4</v>
      </c>
      <c r="C331" s="74"/>
      <c r="D331" s="16"/>
      <c r="E331" s="57"/>
      <c r="F331" s="17"/>
      <c r="G331" s="60"/>
      <c r="H331" s="18" t="str">
        <f t="shared" si="47"/>
        <v xml:space="preserve"> </v>
      </c>
      <c r="I331" s="41"/>
      <c r="K331" s="7" t="str">
        <f t="shared" si="48"/>
        <v xml:space="preserve"> </v>
      </c>
      <c r="L331" s="7" t="str">
        <f t="shared" si="49"/>
        <v xml:space="preserve"> </v>
      </c>
      <c r="M331" s="7" t="str">
        <f t="shared" si="50"/>
        <v xml:space="preserve"> </v>
      </c>
    </row>
    <row r="332" spans="1:13">
      <c r="A332" s="71"/>
      <c r="B332" s="15" t="s">
        <v>4</v>
      </c>
      <c r="C332" s="74"/>
      <c r="D332" s="16"/>
      <c r="E332" s="57"/>
      <c r="F332" s="17"/>
      <c r="G332" s="60"/>
      <c r="H332" s="18" t="str">
        <f t="shared" si="47"/>
        <v xml:space="preserve"> </v>
      </c>
      <c r="I332" s="41"/>
      <c r="K332" s="7" t="str">
        <f t="shared" si="48"/>
        <v xml:space="preserve"> </v>
      </c>
      <c r="L332" s="7" t="str">
        <f t="shared" si="49"/>
        <v xml:space="preserve"> </v>
      </c>
      <c r="M332" s="7" t="str">
        <f t="shared" si="50"/>
        <v xml:space="preserve"> </v>
      </c>
    </row>
    <row r="333" spans="1:13" ht="13.5" thickBot="1">
      <c r="A333" s="72"/>
      <c r="B333" s="19" t="s">
        <v>4</v>
      </c>
      <c r="C333" s="75"/>
      <c r="D333" s="20"/>
      <c r="E333" s="58"/>
      <c r="F333" s="21"/>
      <c r="G333" s="61"/>
      <c r="H333" s="22" t="str">
        <f t="shared" si="47"/>
        <v xml:space="preserve"> </v>
      </c>
      <c r="I333" s="41"/>
      <c r="K333" s="7" t="str">
        <f t="shared" si="48"/>
        <v xml:space="preserve"> </v>
      </c>
      <c r="L333" s="7" t="str">
        <f t="shared" si="49"/>
        <v xml:space="preserve"> </v>
      </c>
      <c r="M333" s="7" t="str">
        <f t="shared" si="50"/>
        <v xml:space="preserve"> </v>
      </c>
    </row>
    <row r="334" spans="1:13">
      <c r="A334" s="70"/>
      <c r="B334" s="11" t="s">
        <v>4</v>
      </c>
      <c r="C334" s="73"/>
      <c r="D334" s="12"/>
      <c r="E334" s="56"/>
      <c r="F334" s="13"/>
      <c r="G334" s="59"/>
      <c r="H334" s="14" t="str">
        <f>IF(E334=""," ",IF(E334-G334&gt;0,1,IF(E334-G334&lt;0,2,"x")))</f>
        <v xml:space="preserve"> </v>
      </c>
      <c r="I334" s="41">
        <v>34</v>
      </c>
      <c r="K334" s="7" t="str">
        <f t="shared" si="48"/>
        <v xml:space="preserve"> </v>
      </c>
      <c r="L334" s="7" t="str">
        <f t="shared" si="49"/>
        <v xml:space="preserve"> </v>
      </c>
      <c r="M334" s="7" t="str">
        <f t="shared" si="50"/>
        <v xml:space="preserve"> </v>
      </c>
    </row>
    <row r="335" spans="1:13">
      <c r="A335" s="71"/>
      <c r="B335" s="15" t="s">
        <v>4</v>
      </c>
      <c r="C335" s="74"/>
      <c r="D335" s="16"/>
      <c r="E335" s="57"/>
      <c r="F335" s="17"/>
      <c r="G335" s="60"/>
      <c r="H335" s="18" t="str">
        <f t="shared" ref="H335:H343" si="51">IF(E335=""," ",IF(E335-G335&gt;0,1,IF(E335-G335&lt;0,2,"x")))</f>
        <v xml:space="preserve"> </v>
      </c>
      <c r="I335" s="41"/>
      <c r="K335" s="7" t="str">
        <f t="shared" si="48"/>
        <v xml:space="preserve"> </v>
      </c>
      <c r="L335" s="7" t="str">
        <f t="shared" si="49"/>
        <v xml:space="preserve"> </v>
      </c>
      <c r="M335" s="7" t="str">
        <f t="shared" si="50"/>
        <v xml:space="preserve"> </v>
      </c>
    </row>
    <row r="336" spans="1:13">
      <c r="A336" s="71"/>
      <c r="B336" s="15" t="s">
        <v>4</v>
      </c>
      <c r="C336" s="74"/>
      <c r="D336" s="16"/>
      <c r="E336" s="57"/>
      <c r="F336" s="17"/>
      <c r="G336" s="60"/>
      <c r="H336" s="18" t="str">
        <f t="shared" si="51"/>
        <v xml:space="preserve"> </v>
      </c>
      <c r="I336" s="41"/>
      <c r="K336" s="7" t="str">
        <f t="shared" si="48"/>
        <v xml:space="preserve"> </v>
      </c>
      <c r="L336" s="7" t="str">
        <f t="shared" si="49"/>
        <v xml:space="preserve"> </v>
      </c>
      <c r="M336" s="7" t="str">
        <f t="shared" si="50"/>
        <v xml:space="preserve"> </v>
      </c>
    </row>
    <row r="337" spans="1:13">
      <c r="A337" s="71"/>
      <c r="B337" s="15" t="s">
        <v>4</v>
      </c>
      <c r="C337" s="74"/>
      <c r="D337" s="16"/>
      <c r="E337" s="57"/>
      <c r="F337" s="17"/>
      <c r="G337" s="60"/>
      <c r="H337" s="18" t="str">
        <f t="shared" si="51"/>
        <v xml:space="preserve"> </v>
      </c>
      <c r="I337" s="41"/>
      <c r="K337" s="7" t="str">
        <f t="shared" si="48"/>
        <v xml:space="preserve"> </v>
      </c>
      <c r="L337" s="7" t="str">
        <f t="shared" si="49"/>
        <v xml:space="preserve"> </v>
      </c>
      <c r="M337" s="7" t="str">
        <f t="shared" si="50"/>
        <v xml:space="preserve"> </v>
      </c>
    </row>
    <row r="338" spans="1:13">
      <c r="A338" s="71"/>
      <c r="B338" s="15" t="s">
        <v>4</v>
      </c>
      <c r="C338" s="74"/>
      <c r="D338" s="16"/>
      <c r="E338" s="57"/>
      <c r="F338" s="17"/>
      <c r="G338" s="60"/>
      <c r="H338" s="18" t="str">
        <f t="shared" si="51"/>
        <v xml:space="preserve"> </v>
      </c>
      <c r="I338" s="41"/>
      <c r="K338" s="7" t="str">
        <f t="shared" si="48"/>
        <v xml:space="preserve"> </v>
      </c>
      <c r="L338" s="7" t="str">
        <f t="shared" si="49"/>
        <v xml:space="preserve"> </v>
      </c>
      <c r="M338" s="7" t="str">
        <f t="shared" si="50"/>
        <v xml:space="preserve"> </v>
      </c>
    </row>
    <row r="339" spans="1:13">
      <c r="A339" s="71"/>
      <c r="B339" s="15" t="s">
        <v>4</v>
      </c>
      <c r="C339" s="74"/>
      <c r="D339" s="16"/>
      <c r="E339" s="57"/>
      <c r="F339" s="17"/>
      <c r="G339" s="60"/>
      <c r="H339" s="18" t="str">
        <f t="shared" si="51"/>
        <v xml:space="preserve"> </v>
      </c>
      <c r="I339" s="41"/>
      <c r="K339" s="7" t="str">
        <f t="shared" si="48"/>
        <v xml:space="preserve"> </v>
      </c>
      <c r="L339" s="7" t="str">
        <f t="shared" si="49"/>
        <v xml:space="preserve"> </v>
      </c>
      <c r="M339" s="7" t="str">
        <f t="shared" si="50"/>
        <v xml:space="preserve"> </v>
      </c>
    </row>
    <row r="340" spans="1:13">
      <c r="A340" s="71"/>
      <c r="B340" s="15" t="s">
        <v>4</v>
      </c>
      <c r="C340" s="74"/>
      <c r="D340" s="16"/>
      <c r="E340" s="57"/>
      <c r="F340" s="17"/>
      <c r="G340" s="60"/>
      <c r="H340" s="18" t="str">
        <f t="shared" si="51"/>
        <v xml:space="preserve"> </v>
      </c>
      <c r="I340" s="41"/>
      <c r="K340" s="7" t="str">
        <f t="shared" si="48"/>
        <v xml:space="preserve"> </v>
      </c>
      <c r="L340" s="7" t="str">
        <f t="shared" si="49"/>
        <v xml:space="preserve"> </v>
      </c>
      <c r="M340" s="7" t="str">
        <f t="shared" si="50"/>
        <v xml:space="preserve"> </v>
      </c>
    </row>
    <row r="341" spans="1:13">
      <c r="A341" s="71"/>
      <c r="B341" s="15" t="s">
        <v>4</v>
      </c>
      <c r="C341" s="74"/>
      <c r="D341" s="16"/>
      <c r="E341" s="57"/>
      <c r="F341" s="17"/>
      <c r="G341" s="60"/>
      <c r="H341" s="18" t="str">
        <f t="shared" si="51"/>
        <v xml:space="preserve"> </v>
      </c>
      <c r="I341" s="41"/>
      <c r="K341" s="7" t="str">
        <f t="shared" si="48"/>
        <v xml:space="preserve"> </v>
      </c>
      <c r="L341" s="7" t="str">
        <f t="shared" si="49"/>
        <v xml:space="preserve"> </v>
      </c>
      <c r="M341" s="7" t="str">
        <f t="shared" si="50"/>
        <v xml:space="preserve"> </v>
      </c>
    </row>
    <row r="342" spans="1:13">
      <c r="A342" s="71"/>
      <c r="B342" s="15" t="s">
        <v>4</v>
      </c>
      <c r="C342" s="74"/>
      <c r="D342" s="16"/>
      <c r="E342" s="57"/>
      <c r="F342" s="17"/>
      <c r="G342" s="60"/>
      <c r="H342" s="18" t="str">
        <f t="shared" si="51"/>
        <v xml:space="preserve"> </v>
      </c>
      <c r="I342" s="41"/>
      <c r="K342" s="7" t="str">
        <f t="shared" si="48"/>
        <v xml:space="preserve"> </v>
      </c>
      <c r="L342" s="7" t="str">
        <f t="shared" si="49"/>
        <v xml:space="preserve"> </v>
      </c>
      <c r="M342" s="7" t="str">
        <f t="shared" si="50"/>
        <v xml:space="preserve"> </v>
      </c>
    </row>
    <row r="343" spans="1:13" ht="13.5" thickBot="1">
      <c r="A343" s="72"/>
      <c r="B343" s="19" t="s">
        <v>4</v>
      </c>
      <c r="C343" s="75"/>
      <c r="D343" s="20"/>
      <c r="E343" s="58"/>
      <c r="F343" s="21"/>
      <c r="G343" s="61"/>
      <c r="H343" s="22" t="str">
        <f t="shared" si="51"/>
        <v xml:space="preserve"> </v>
      </c>
      <c r="I343" s="41"/>
      <c r="K343" s="7" t="str">
        <f t="shared" si="48"/>
        <v xml:space="preserve"> </v>
      </c>
      <c r="L343" s="7" t="str">
        <f t="shared" si="49"/>
        <v xml:space="preserve"> </v>
      </c>
      <c r="M343" s="7" t="str">
        <f t="shared" si="50"/>
        <v xml:space="preserve"> </v>
      </c>
    </row>
    <row r="344" spans="1:13">
      <c r="A344" s="70"/>
      <c r="B344" s="11" t="s">
        <v>4</v>
      </c>
      <c r="C344" s="73"/>
      <c r="D344" s="12"/>
      <c r="E344" s="56"/>
      <c r="F344" s="13"/>
      <c r="G344" s="59"/>
      <c r="H344" s="14" t="str">
        <f>IF(E344=""," ",IF(E344-G344&gt;0,1,IF(E344-G344&lt;0,2,"x")))</f>
        <v xml:space="preserve"> </v>
      </c>
      <c r="I344" s="41">
        <v>35</v>
      </c>
      <c r="K344" s="7" t="str">
        <f t="shared" si="48"/>
        <v xml:space="preserve"> </v>
      </c>
      <c r="L344" s="7" t="str">
        <f t="shared" si="49"/>
        <v xml:space="preserve"> </v>
      </c>
      <c r="M344" s="7" t="str">
        <f t="shared" si="50"/>
        <v xml:space="preserve"> </v>
      </c>
    </row>
    <row r="345" spans="1:13">
      <c r="A345" s="71"/>
      <c r="B345" s="15" t="s">
        <v>4</v>
      </c>
      <c r="C345" s="74"/>
      <c r="D345" s="16"/>
      <c r="E345" s="57"/>
      <c r="F345" s="17"/>
      <c r="G345" s="60"/>
      <c r="H345" s="18" t="str">
        <f t="shared" ref="H345:H353" si="52">IF(E345=""," ",IF(E345-G345&gt;0,1,IF(E345-G345&lt;0,2,"x")))</f>
        <v xml:space="preserve"> </v>
      </c>
      <c r="I345" s="41"/>
      <c r="K345" s="7" t="str">
        <f t="shared" si="48"/>
        <v xml:space="preserve"> </v>
      </c>
      <c r="L345" s="7" t="str">
        <f t="shared" si="49"/>
        <v xml:space="preserve"> </v>
      </c>
      <c r="M345" s="7" t="str">
        <f t="shared" si="50"/>
        <v xml:space="preserve"> </v>
      </c>
    </row>
    <row r="346" spans="1:13">
      <c r="A346" s="71"/>
      <c r="B346" s="15" t="s">
        <v>4</v>
      </c>
      <c r="C346" s="74"/>
      <c r="D346" s="16"/>
      <c r="E346" s="57"/>
      <c r="F346" s="17"/>
      <c r="G346" s="60"/>
      <c r="H346" s="18" t="str">
        <f t="shared" si="52"/>
        <v xml:space="preserve"> </v>
      </c>
      <c r="I346" s="41"/>
      <c r="K346" s="7" t="str">
        <f t="shared" si="48"/>
        <v xml:space="preserve"> </v>
      </c>
      <c r="L346" s="7" t="str">
        <f t="shared" si="49"/>
        <v xml:space="preserve"> </v>
      </c>
      <c r="M346" s="7" t="str">
        <f t="shared" si="50"/>
        <v xml:space="preserve"> </v>
      </c>
    </row>
    <row r="347" spans="1:13">
      <c r="A347" s="71"/>
      <c r="B347" s="15" t="s">
        <v>4</v>
      </c>
      <c r="C347" s="74"/>
      <c r="D347" s="16"/>
      <c r="E347" s="57"/>
      <c r="F347" s="17"/>
      <c r="G347" s="60"/>
      <c r="H347" s="18" t="str">
        <f t="shared" si="52"/>
        <v xml:space="preserve"> </v>
      </c>
      <c r="I347" s="41"/>
      <c r="K347" s="7" t="str">
        <f t="shared" si="48"/>
        <v xml:space="preserve"> </v>
      </c>
      <c r="L347" s="7" t="str">
        <f t="shared" si="49"/>
        <v xml:space="preserve"> </v>
      </c>
      <c r="M347" s="7" t="str">
        <f t="shared" si="50"/>
        <v xml:space="preserve"> </v>
      </c>
    </row>
    <row r="348" spans="1:13">
      <c r="A348" s="71"/>
      <c r="B348" s="15" t="s">
        <v>4</v>
      </c>
      <c r="C348" s="74"/>
      <c r="D348" s="16"/>
      <c r="E348" s="57"/>
      <c r="F348" s="17"/>
      <c r="G348" s="60"/>
      <c r="H348" s="18" t="str">
        <f t="shared" si="52"/>
        <v xml:space="preserve"> </v>
      </c>
      <c r="I348" s="41"/>
      <c r="K348" s="7" t="str">
        <f t="shared" si="48"/>
        <v xml:space="preserve"> </v>
      </c>
      <c r="L348" s="7" t="str">
        <f t="shared" si="49"/>
        <v xml:space="preserve"> </v>
      </c>
      <c r="M348" s="7" t="str">
        <f t="shared" si="50"/>
        <v xml:space="preserve"> </v>
      </c>
    </row>
    <row r="349" spans="1:13">
      <c r="A349" s="71"/>
      <c r="B349" s="15" t="s">
        <v>4</v>
      </c>
      <c r="C349" s="74"/>
      <c r="D349" s="16"/>
      <c r="E349" s="57"/>
      <c r="F349" s="17"/>
      <c r="G349" s="60"/>
      <c r="H349" s="18" t="str">
        <f t="shared" si="52"/>
        <v xml:space="preserve"> </v>
      </c>
      <c r="I349" s="41"/>
      <c r="K349" s="7" t="str">
        <f t="shared" si="48"/>
        <v xml:space="preserve"> </v>
      </c>
      <c r="L349" s="7" t="str">
        <f t="shared" si="49"/>
        <v xml:space="preserve"> </v>
      </c>
      <c r="M349" s="7" t="str">
        <f t="shared" si="50"/>
        <v xml:space="preserve"> </v>
      </c>
    </row>
    <row r="350" spans="1:13">
      <c r="A350" s="71"/>
      <c r="B350" s="15" t="s">
        <v>4</v>
      </c>
      <c r="C350" s="74"/>
      <c r="D350" s="16"/>
      <c r="E350" s="57"/>
      <c r="F350" s="17"/>
      <c r="G350" s="60"/>
      <c r="H350" s="18" t="str">
        <f t="shared" si="52"/>
        <v xml:space="preserve"> </v>
      </c>
      <c r="I350" s="41"/>
      <c r="K350" s="7" t="str">
        <f t="shared" si="48"/>
        <v xml:space="preserve"> </v>
      </c>
      <c r="L350" s="7" t="str">
        <f t="shared" si="49"/>
        <v xml:space="preserve"> </v>
      </c>
      <c r="M350" s="7" t="str">
        <f t="shared" si="50"/>
        <v xml:space="preserve"> </v>
      </c>
    </row>
    <row r="351" spans="1:13">
      <c r="A351" s="71"/>
      <c r="B351" s="15" t="s">
        <v>4</v>
      </c>
      <c r="C351" s="74"/>
      <c r="D351" s="16"/>
      <c r="E351" s="57"/>
      <c r="F351" s="17"/>
      <c r="G351" s="60"/>
      <c r="H351" s="18" t="str">
        <f t="shared" si="52"/>
        <v xml:space="preserve"> </v>
      </c>
      <c r="I351" s="41"/>
      <c r="K351" s="7" t="str">
        <f t="shared" si="48"/>
        <v xml:space="preserve"> </v>
      </c>
      <c r="L351" s="7" t="str">
        <f t="shared" si="49"/>
        <v xml:space="preserve"> </v>
      </c>
      <c r="M351" s="7" t="str">
        <f t="shared" si="50"/>
        <v xml:space="preserve"> </v>
      </c>
    </row>
    <row r="352" spans="1:13">
      <c r="A352" s="71"/>
      <c r="B352" s="15" t="s">
        <v>4</v>
      </c>
      <c r="C352" s="74"/>
      <c r="D352" s="16"/>
      <c r="E352" s="57"/>
      <c r="F352" s="17"/>
      <c r="G352" s="60"/>
      <c r="H352" s="18" t="str">
        <f t="shared" si="52"/>
        <v xml:space="preserve"> </v>
      </c>
      <c r="I352" s="41"/>
      <c r="K352" s="7" t="str">
        <f t="shared" si="48"/>
        <v xml:space="preserve"> </v>
      </c>
      <c r="L352" s="7" t="str">
        <f t="shared" si="49"/>
        <v xml:space="preserve"> </v>
      </c>
      <c r="M352" s="7" t="str">
        <f t="shared" si="50"/>
        <v xml:space="preserve"> </v>
      </c>
    </row>
    <row r="353" spans="1:13" ht="13.5" thickBot="1">
      <c r="A353" s="72"/>
      <c r="B353" s="19" t="s">
        <v>4</v>
      </c>
      <c r="C353" s="75"/>
      <c r="D353" s="20"/>
      <c r="E353" s="58"/>
      <c r="F353" s="21"/>
      <c r="G353" s="61"/>
      <c r="H353" s="22" t="str">
        <f t="shared" si="52"/>
        <v xml:space="preserve"> </v>
      </c>
      <c r="I353" s="41"/>
      <c r="K353" s="7" t="str">
        <f t="shared" si="48"/>
        <v xml:space="preserve"> </v>
      </c>
      <c r="L353" s="7" t="str">
        <f t="shared" si="49"/>
        <v xml:space="preserve"> </v>
      </c>
      <c r="M353" s="7" t="str">
        <f t="shared" si="50"/>
        <v xml:space="preserve"> </v>
      </c>
    </row>
    <row r="354" spans="1:13">
      <c r="A354" s="70"/>
      <c r="B354" s="11" t="s">
        <v>4</v>
      </c>
      <c r="C354" s="73"/>
      <c r="D354" s="12"/>
      <c r="E354" s="56"/>
      <c r="F354" s="13"/>
      <c r="G354" s="59"/>
      <c r="H354" s="14" t="str">
        <f>IF(E354=""," ",IF(E354-G354&gt;0,1,IF(E354-G354&lt;0,2,"x")))</f>
        <v xml:space="preserve"> </v>
      </c>
      <c r="I354" s="41">
        <v>36</v>
      </c>
      <c r="K354" s="7" t="str">
        <f t="shared" si="48"/>
        <v xml:space="preserve"> </v>
      </c>
      <c r="L354" s="7" t="str">
        <f t="shared" si="49"/>
        <v xml:space="preserve"> </v>
      </c>
      <c r="M354" s="7" t="str">
        <f t="shared" si="50"/>
        <v xml:space="preserve"> </v>
      </c>
    </row>
    <row r="355" spans="1:13">
      <c r="A355" s="71"/>
      <c r="B355" s="15" t="s">
        <v>4</v>
      </c>
      <c r="C355" s="74"/>
      <c r="D355" s="16"/>
      <c r="E355" s="57"/>
      <c r="F355" s="17"/>
      <c r="G355" s="60"/>
      <c r="H355" s="18" t="str">
        <f t="shared" ref="H355:H363" si="53">IF(E355=""," ",IF(E355-G355&gt;0,1,IF(E355-G355&lt;0,2,"x")))</f>
        <v xml:space="preserve"> </v>
      </c>
      <c r="I355" s="41"/>
      <c r="K355" s="7" t="str">
        <f t="shared" si="48"/>
        <v xml:space="preserve"> </v>
      </c>
      <c r="L355" s="7" t="str">
        <f t="shared" si="49"/>
        <v xml:space="preserve"> </v>
      </c>
      <c r="M355" s="7" t="str">
        <f t="shared" si="50"/>
        <v xml:space="preserve"> </v>
      </c>
    </row>
    <row r="356" spans="1:13">
      <c r="A356" s="71"/>
      <c r="B356" s="15" t="s">
        <v>4</v>
      </c>
      <c r="C356" s="74"/>
      <c r="D356" s="16"/>
      <c r="E356" s="57"/>
      <c r="F356" s="17"/>
      <c r="G356" s="60"/>
      <c r="H356" s="18" t="str">
        <f t="shared" si="53"/>
        <v xml:space="preserve"> </v>
      </c>
      <c r="I356" s="41"/>
      <c r="K356" s="7" t="str">
        <f t="shared" si="48"/>
        <v xml:space="preserve"> </v>
      </c>
      <c r="L356" s="7" t="str">
        <f t="shared" si="49"/>
        <v xml:space="preserve"> </v>
      </c>
      <c r="M356" s="7" t="str">
        <f t="shared" si="50"/>
        <v xml:space="preserve"> </v>
      </c>
    </row>
    <row r="357" spans="1:13">
      <c r="A357" s="71"/>
      <c r="B357" s="15" t="s">
        <v>4</v>
      </c>
      <c r="C357" s="74"/>
      <c r="D357" s="16"/>
      <c r="E357" s="57"/>
      <c r="F357" s="17"/>
      <c r="G357" s="60"/>
      <c r="H357" s="18" t="str">
        <f t="shared" si="53"/>
        <v xml:space="preserve"> </v>
      </c>
      <c r="I357" s="41"/>
      <c r="K357" s="7" t="str">
        <f t="shared" si="48"/>
        <v xml:space="preserve"> </v>
      </c>
      <c r="L357" s="7" t="str">
        <f t="shared" si="49"/>
        <v xml:space="preserve"> </v>
      </c>
      <c r="M357" s="7" t="str">
        <f t="shared" si="50"/>
        <v xml:space="preserve"> </v>
      </c>
    </row>
    <row r="358" spans="1:13">
      <c r="A358" s="71"/>
      <c r="B358" s="15" t="s">
        <v>4</v>
      </c>
      <c r="C358" s="74"/>
      <c r="D358" s="16"/>
      <c r="E358" s="57"/>
      <c r="F358" s="17"/>
      <c r="G358" s="60"/>
      <c r="H358" s="18" t="str">
        <f t="shared" si="53"/>
        <v xml:space="preserve"> </v>
      </c>
      <c r="I358" s="41"/>
      <c r="K358" s="7" t="str">
        <f t="shared" si="48"/>
        <v xml:space="preserve"> </v>
      </c>
      <c r="L358" s="7" t="str">
        <f t="shared" si="49"/>
        <v xml:space="preserve"> </v>
      </c>
      <c r="M358" s="7" t="str">
        <f t="shared" si="50"/>
        <v xml:space="preserve"> </v>
      </c>
    </row>
    <row r="359" spans="1:13">
      <c r="A359" s="71"/>
      <c r="B359" s="15" t="s">
        <v>4</v>
      </c>
      <c r="C359" s="74"/>
      <c r="D359" s="16"/>
      <c r="E359" s="57"/>
      <c r="F359" s="17"/>
      <c r="G359" s="60"/>
      <c r="H359" s="18" t="str">
        <f t="shared" si="53"/>
        <v xml:space="preserve"> </v>
      </c>
      <c r="I359" s="41"/>
      <c r="K359" s="7" t="str">
        <f t="shared" si="48"/>
        <v xml:space="preserve"> </v>
      </c>
      <c r="L359" s="7" t="str">
        <f t="shared" si="49"/>
        <v xml:space="preserve"> </v>
      </c>
      <c r="M359" s="7" t="str">
        <f t="shared" si="50"/>
        <v xml:space="preserve"> </v>
      </c>
    </row>
    <row r="360" spans="1:13">
      <c r="A360" s="71"/>
      <c r="B360" s="15" t="s">
        <v>4</v>
      </c>
      <c r="C360" s="74"/>
      <c r="D360" s="16"/>
      <c r="E360" s="57"/>
      <c r="F360" s="17"/>
      <c r="G360" s="60"/>
      <c r="H360" s="18" t="str">
        <f t="shared" si="53"/>
        <v xml:space="preserve"> </v>
      </c>
      <c r="I360" s="41"/>
      <c r="K360" s="7" t="str">
        <f t="shared" si="48"/>
        <v xml:space="preserve"> </v>
      </c>
      <c r="L360" s="7" t="str">
        <f t="shared" si="49"/>
        <v xml:space="preserve"> </v>
      </c>
      <c r="M360" s="7" t="str">
        <f t="shared" si="50"/>
        <v xml:space="preserve"> </v>
      </c>
    </row>
    <row r="361" spans="1:13">
      <c r="A361" s="71"/>
      <c r="B361" s="15" t="s">
        <v>4</v>
      </c>
      <c r="C361" s="74"/>
      <c r="D361" s="16"/>
      <c r="E361" s="57"/>
      <c r="F361" s="17"/>
      <c r="G361" s="60"/>
      <c r="H361" s="18" t="str">
        <f t="shared" si="53"/>
        <v xml:space="preserve"> </v>
      </c>
      <c r="I361" s="41"/>
      <c r="K361" s="7" t="str">
        <f t="shared" si="48"/>
        <v xml:space="preserve"> </v>
      </c>
      <c r="L361" s="7" t="str">
        <f t="shared" si="49"/>
        <v xml:space="preserve"> </v>
      </c>
      <c r="M361" s="7" t="str">
        <f t="shared" si="50"/>
        <v xml:space="preserve"> </v>
      </c>
    </row>
    <row r="362" spans="1:13">
      <c r="A362" s="71"/>
      <c r="B362" s="15" t="s">
        <v>4</v>
      </c>
      <c r="C362" s="74"/>
      <c r="D362" s="16"/>
      <c r="E362" s="57"/>
      <c r="F362" s="17"/>
      <c r="G362" s="60"/>
      <c r="H362" s="18" t="str">
        <f t="shared" si="53"/>
        <v xml:space="preserve"> </v>
      </c>
      <c r="I362" s="41"/>
      <c r="K362" s="7" t="str">
        <f t="shared" si="48"/>
        <v xml:space="preserve"> </v>
      </c>
      <c r="L362" s="7" t="str">
        <f t="shared" si="49"/>
        <v xml:space="preserve"> </v>
      </c>
      <c r="M362" s="7" t="str">
        <f t="shared" si="50"/>
        <v xml:space="preserve"> </v>
      </c>
    </row>
    <row r="363" spans="1:13" ht="13.5" thickBot="1">
      <c r="A363" s="72"/>
      <c r="B363" s="19" t="s">
        <v>4</v>
      </c>
      <c r="C363" s="75"/>
      <c r="D363" s="20"/>
      <c r="E363" s="58"/>
      <c r="F363" s="21"/>
      <c r="G363" s="61"/>
      <c r="H363" s="22" t="str">
        <f t="shared" si="53"/>
        <v xml:space="preserve"> </v>
      </c>
      <c r="I363" s="41"/>
      <c r="K363" s="7" t="str">
        <f t="shared" si="48"/>
        <v xml:space="preserve"> </v>
      </c>
      <c r="L363" s="7" t="str">
        <f t="shared" si="49"/>
        <v xml:space="preserve"> </v>
      </c>
      <c r="M363" s="7" t="str">
        <f t="shared" si="50"/>
        <v xml:space="preserve"> </v>
      </c>
    </row>
    <row r="364" spans="1:13">
      <c r="A364" s="70"/>
      <c r="B364" s="11" t="s">
        <v>4</v>
      </c>
      <c r="C364" s="73"/>
      <c r="D364" s="12"/>
      <c r="E364" s="56"/>
      <c r="F364" s="13"/>
      <c r="G364" s="59"/>
      <c r="H364" s="14" t="str">
        <f>IF(E364=""," ",IF(E364-G364&gt;0,1,IF(E364-G364&lt;0,2,"x")))</f>
        <v xml:space="preserve"> </v>
      </c>
      <c r="I364" s="41">
        <v>37</v>
      </c>
      <c r="K364" s="7" t="str">
        <f t="shared" si="48"/>
        <v xml:space="preserve"> </v>
      </c>
      <c r="L364" s="7" t="str">
        <f t="shared" si="49"/>
        <v xml:space="preserve"> </v>
      </c>
      <c r="M364" s="7" t="str">
        <f t="shared" si="50"/>
        <v xml:space="preserve"> </v>
      </c>
    </row>
    <row r="365" spans="1:13">
      <c r="A365" s="71"/>
      <c r="B365" s="15" t="s">
        <v>4</v>
      </c>
      <c r="C365" s="74"/>
      <c r="D365" s="16"/>
      <c r="E365" s="57"/>
      <c r="F365" s="17"/>
      <c r="G365" s="60"/>
      <c r="H365" s="18" t="str">
        <f t="shared" ref="H365:H373" si="54">IF(E365=""," ",IF(E365-G365&gt;0,1,IF(E365-G365&lt;0,2,"x")))</f>
        <v xml:space="preserve"> </v>
      </c>
      <c r="I365" s="41"/>
      <c r="K365" s="7" t="str">
        <f t="shared" si="48"/>
        <v xml:space="preserve"> </v>
      </c>
      <c r="L365" s="7" t="str">
        <f t="shared" si="49"/>
        <v xml:space="preserve"> </v>
      </c>
      <c r="M365" s="7" t="str">
        <f t="shared" si="50"/>
        <v xml:space="preserve"> </v>
      </c>
    </row>
    <row r="366" spans="1:13">
      <c r="A366" s="71"/>
      <c r="B366" s="15" t="s">
        <v>4</v>
      </c>
      <c r="C366" s="74"/>
      <c r="D366" s="16"/>
      <c r="E366" s="57"/>
      <c r="F366" s="17"/>
      <c r="G366" s="60"/>
      <c r="H366" s="18" t="str">
        <f t="shared" si="54"/>
        <v xml:space="preserve"> </v>
      </c>
      <c r="I366" s="41"/>
      <c r="K366" s="7" t="str">
        <f t="shared" si="48"/>
        <v xml:space="preserve"> </v>
      </c>
      <c r="L366" s="7" t="str">
        <f t="shared" si="49"/>
        <v xml:space="preserve"> </v>
      </c>
      <c r="M366" s="7" t="str">
        <f t="shared" si="50"/>
        <v xml:space="preserve"> </v>
      </c>
    </row>
    <row r="367" spans="1:13">
      <c r="A367" s="71"/>
      <c r="B367" s="15" t="s">
        <v>4</v>
      </c>
      <c r="C367" s="74"/>
      <c r="D367" s="16"/>
      <c r="E367" s="57"/>
      <c r="F367" s="17"/>
      <c r="G367" s="60"/>
      <c r="H367" s="18" t="str">
        <f t="shared" si="54"/>
        <v xml:space="preserve"> </v>
      </c>
      <c r="I367" s="41"/>
      <c r="K367" s="7" t="str">
        <f t="shared" si="48"/>
        <v xml:space="preserve"> </v>
      </c>
      <c r="L367" s="7" t="str">
        <f t="shared" si="49"/>
        <v xml:space="preserve"> </v>
      </c>
      <c r="M367" s="7" t="str">
        <f t="shared" si="50"/>
        <v xml:space="preserve"> </v>
      </c>
    </row>
    <row r="368" spans="1:13">
      <c r="A368" s="71"/>
      <c r="B368" s="15" t="s">
        <v>4</v>
      </c>
      <c r="C368" s="74"/>
      <c r="D368" s="16"/>
      <c r="E368" s="57"/>
      <c r="F368" s="17"/>
      <c r="G368" s="60"/>
      <c r="H368" s="18" t="str">
        <f t="shared" si="54"/>
        <v xml:space="preserve"> </v>
      </c>
      <c r="I368" s="41"/>
      <c r="K368" s="7" t="str">
        <f t="shared" si="48"/>
        <v xml:space="preserve"> </v>
      </c>
      <c r="L368" s="7" t="str">
        <f t="shared" si="49"/>
        <v xml:space="preserve"> </v>
      </c>
      <c r="M368" s="7" t="str">
        <f t="shared" si="50"/>
        <v xml:space="preserve"> </v>
      </c>
    </row>
    <row r="369" spans="1:13">
      <c r="A369" s="71"/>
      <c r="B369" s="15" t="s">
        <v>4</v>
      </c>
      <c r="C369" s="74"/>
      <c r="D369" s="16"/>
      <c r="E369" s="57"/>
      <c r="F369" s="17"/>
      <c r="G369" s="60"/>
      <c r="H369" s="18" t="str">
        <f t="shared" si="54"/>
        <v xml:space="preserve"> </v>
      </c>
      <c r="I369" s="41"/>
      <c r="K369" s="7" t="str">
        <f t="shared" si="48"/>
        <v xml:space="preserve"> </v>
      </c>
      <c r="L369" s="7" t="str">
        <f t="shared" si="49"/>
        <v xml:space="preserve"> </v>
      </c>
      <c r="M369" s="7" t="str">
        <f t="shared" si="50"/>
        <v xml:space="preserve"> </v>
      </c>
    </row>
    <row r="370" spans="1:13">
      <c r="A370" s="71"/>
      <c r="B370" s="15" t="s">
        <v>4</v>
      </c>
      <c r="C370" s="74"/>
      <c r="D370" s="16"/>
      <c r="E370" s="57"/>
      <c r="F370" s="17"/>
      <c r="G370" s="60"/>
      <c r="H370" s="18" t="str">
        <f t="shared" si="54"/>
        <v xml:space="preserve"> </v>
      </c>
      <c r="I370" s="41"/>
      <c r="K370" s="7" t="str">
        <f t="shared" si="48"/>
        <v xml:space="preserve"> </v>
      </c>
      <c r="L370" s="7" t="str">
        <f t="shared" si="49"/>
        <v xml:space="preserve"> </v>
      </c>
      <c r="M370" s="7" t="str">
        <f t="shared" si="50"/>
        <v xml:space="preserve"> </v>
      </c>
    </row>
    <row r="371" spans="1:13">
      <c r="A371" s="71"/>
      <c r="B371" s="15" t="s">
        <v>4</v>
      </c>
      <c r="C371" s="74"/>
      <c r="D371" s="16"/>
      <c r="E371" s="57"/>
      <c r="F371" s="17"/>
      <c r="G371" s="60"/>
      <c r="H371" s="18" t="str">
        <f t="shared" si="54"/>
        <v xml:space="preserve"> </v>
      </c>
      <c r="I371" s="41"/>
      <c r="K371" s="7" t="str">
        <f t="shared" si="48"/>
        <v xml:space="preserve"> </v>
      </c>
      <c r="L371" s="7" t="str">
        <f t="shared" si="49"/>
        <v xml:space="preserve"> </v>
      </c>
      <c r="M371" s="7" t="str">
        <f t="shared" si="50"/>
        <v xml:space="preserve"> </v>
      </c>
    </row>
    <row r="372" spans="1:13">
      <c r="A372" s="71"/>
      <c r="B372" s="15" t="s">
        <v>4</v>
      </c>
      <c r="C372" s="74"/>
      <c r="D372" s="16"/>
      <c r="E372" s="57"/>
      <c r="F372" s="17"/>
      <c r="G372" s="60"/>
      <c r="H372" s="18" t="str">
        <f t="shared" si="54"/>
        <v xml:space="preserve"> </v>
      </c>
      <c r="I372" s="41"/>
      <c r="K372" s="7" t="str">
        <f t="shared" si="48"/>
        <v xml:space="preserve"> </v>
      </c>
      <c r="L372" s="7" t="str">
        <f t="shared" si="49"/>
        <v xml:space="preserve"> </v>
      </c>
      <c r="M372" s="7" t="str">
        <f t="shared" si="50"/>
        <v xml:space="preserve"> </v>
      </c>
    </row>
    <row r="373" spans="1:13" ht="13.5" thickBot="1">
      <c r="A373" s="72"/>
      <c r="B373" s="19" t="s">
        <v>4</v>
      </c>
      <c r="C373" s="75"/>
      <c r="D373" s="20"/>
      <c r="E373" s="58"/>
      <c r="F373" s="21"/>
      <c r="G373" s="61"/>
      <c r="H373" s="22" t="str">
        <f t="shared" si="54"/>
        <v xml:space="preserve"> </v>
      </c>
      <c r="I373" s="41"/>
      <c r="K373" s="7" t="str">
        <f t="shared" si="48"/>
        <v xml:space="preserve"> </v>
      </c>
      <c r="L373" s="7" t="str">
        <f t="shared" si="49"/>
        <v xml:space="preserve"> </v>
      </c>
      <c r="M373" s="7" t="str">
        <f t="shared" si="50"/>
        <v xml:space="preserve"> </v>
      </c>
    </row>
    <row r="374" spans="1:13">
      <c r="A374" s="70"/>
      <c r="B374" s="11" t="s">
        <v>4</v>
      </c>
      <c r="C374" s="73"/>
      <c r="D374" s="12"/>
      <c r="E374" s="56"/>
      <c r="F374" s="13"/>
      <c r="G374" s="59"/>
      <c r="H374" s="14" t="str">
        <f>IF(E374=""," ",IF(E374-G374&gt;0,1,IF(E374-G374&lt;0,2,"x")))</f>
        <v xml:space="preserve"> </v>
      </c>
      <c r="I374" s="41">
        <v>38</v>
      </c>
      <c r="K374" s="7" t="str">
        <f t="shared" si="48"/>
        <v xml:space="preserve"> </v>
      </c>
      <c r="L374" s="7" t="str">
        <f t="shared" si="49"/>
        <v xml:space="preserve"> </v>
      </c>
      <c r="M374" s="7" t="str">
        <f t="shared" si="50"/>
        <v xml:space="preserve"> </v>
      </c>
    </row>
    <row r="375" spans="1:13">
      <c r="A375" s="71"/>
      <c r="B375" s="15" t="s">
        <v>4</v>
      </c>
      <c r="C375" s="74"/>
      <c r="D375" s="16"/>
      <c r="E375" s="57"/>
      <c r="F375" s="17"/>
      <c r="G375" s="60"/>
      <c r="H375" s="18" t="str">
        <f t="shared" ref="H375:H383" si="55">IF(E375=""," ",IF(E375-G375&gt;0,1,IF(E375-G375&lt;0,2,"x")))</f>
        <v xml:space="preserve"> </v>
      </c>
      <c r="I375" s="41"/>
      <c r="K375" s="7" t="str">
        <f t="shared" si="48"/>
        <v xml:space="preserve"> </v>
      </c>
      <c r="L375" s="7" t="str">
        <f t="shared" si="49"/>
        <v xml:space="preserve"> </v>
      </c>
      <c r="M375" s="7" t="str">
        <f t="shared" si="50"/>
        <v xml:space="preserve"> </v>
      </c>
    </row>
    <row r="376" spans="1:13">
      <c r="A376" s="71"/>
      <c r="B376" s="15" t="s">
        <v>4</v>
      </c>
      <c r="C376" s="74"/>
      <c r="D376" s="16"/>
      <c r="E376" s="57"/>
      <c r="F376" s="17"/>
      <c r="G376" s="60"/>
      <c r="H376" s="18" t="str">
        <f t="shared" si="55"/>
        <v xml:space="preserve"> </v>
      </c>
      <c r="I376" s="41"/>
      <c r="K376" s="7" t="str">
        <f t="shared" si="48"/>
        <v xml:space="preserve"> </v>
      </c>
      <c r="L376" s="7" t="str">
        <f t="shared" si="49"/>
        <v xml:space="preserve"> </v>
      </c>
      <c r="M376" s="7" t="str">
        <f t="shared" si="50"/>
        <v xml:space="preserve"> </v>
      </c>
    </row>
    <row r="377" spans="1:13">
      <c r="A377" s="71"/>
      <c r="B377" s="15" t="s">
        <v>4</v>
      </c>
      <c r="C377" s="74"/>
      <c r="D377" s="16"/>
      <c r="E377" s="57"/>
      <c r="F377" s="17"/>
      <c r="G377" s="60"/>
      <c r="H377" s="18" t="str">
        <f t="shared" si="55"/>
        <v xml:space="preserve"> </v>
      </c>
      <c r="I377" s="41"/>
      <c r="K377" s="7" t="str">
        <f t="shared" si="48"/>
        <v xml:space="preserve"> </v>
      </c>
      <c r="L377" s="7" t="str">
        <f t="shared" si="49"/>
        <v xml:space="preserve"> </v>
      </c>
      <c r="M377" s="7" t="str">
        <f t="shared" si="50"/>
        <v xml:space="preserve"> </v>
      </c>
    </row>
    <row r="378" spans="1:13">
      <c r="A378" s="71"/>
      <c r="B378" s="15" t="s">
        <v>4</v>
      </c>
      <c r="C378" s="74"/>
      <c r="D378" s="16"/>
      <c r="E378" s="57"/>
      <c r="F378" s="17"/>
      <c r="G378" s="60"/>
      <c r="H378" s="18" t="str">
        <f t="shared" si="55"/>
        <v xml:space="preserve"> </v>
      </c>
      <c r="I378" s="41"/>
      <c r="K378" s="7" t="str">
        <f t="shared" si="48"/>
        <v xml:space="preserve"> </v>
      </c>
      <c r="L378" s="7" t="str">
        <f t="shared" si="49"/>
        <v xml:space="preserve"> </v>
      </c>
      <c r="M378" s="7" t="str">
        <f t="shared" si="50"/>
        <v xml:space="preserve"> </v>
      </c>
    </row>
    <row r="379" spans="1:13">
      <c r="A379" s="71"/>
      <c r="B379" s="15" t="s">
        <v>4</v>
      </c>
      <c r="C379" s="74"/>
      <c r="D379" s="16"/>
      <c r="E379" s="57"/>
      <c r="F379" s="17"/>
      <c r="G379" s="60"/>
      <c r="H379" s="18" t="str">
        <f t="shared" si="55"/>
        <v xml:space="preserve"> </v>
      </c>
      <c r="I379" s="41"/>
      <c r="K379" s="7" t="str">
        <f t="shared" si="48"/>
        <v xml:space="preserve"> </v>
      </c>
      <c r="L379" s="7" t="str">
        <f t="shared" si="49"/>
        <v xml:space="preserve"> </v>
      </c>
      <c r="M379" s="7" t="str">
        <f t="shared" si="50"/>
        <v xml:space="preserve"> </v>
      </c>
    </row>
    <row r="380" spans="1:13">
      <c r="A380" s="71"/>
      <c r="B380" s="15" t="s">
        <v>4</v>
      </c>
      <c r="C380" s="74"/>
      <c r="D380" s="16"/>
      <c r="E380" s="57"/>
      <c r="F380" s="17"/>
      <c r="G380" s="60"/>
      <c r="H380" s="18" t="str">
        <f t="shared" si="55"/>
        <v xml:space="preserve"> </v>
      </c>
      <c r="I380" s="41"/>
      <c r="K380" s="7" t="str">
        <f t="shared" si="48"/>
        <v xml:space="preserve"> </v>
      </c>
      <c r="L380" s="7" t="str">
        <f t="shared" si="49"/>
        <v xml:space="preserve"> </v>
      </c>
      <c r="M380" s="7" t="str">
        <f t="shared" si="50"/>
        <v xml:space="preserve"> </v>
      </c>
    </row>
    <row r="381" spans="1:13">
      <c r="A381" s="71"/>
      <c r="B381" s="15" t="s">
        <v>4</v>
      </c>
      <c r="C381" s="74"/>
      <c r="D381" s="16"/>
      <c r="E381" s="57"/>
      <c r="F381" s="17"/>
      <c r="G381" s="60"/>
      <c r="H381" s="18" t="str">
        <f t="shared" si="55"/>
        <v xml:space="preserve"> </v>
      </c>
      <c r="I381" s="41"/>
      <c r="K381" s="7" t="str">
        <f t="shared" si="48"/>
        <v xml:space="preserve"> </v>
      </c>
      <c r="L381" s="7" t="str">
        <f t="shared" si="49"/>
        <v xml:space="preserve"> </v>
      </c>
      <c r="M381" s="7" t="str">
        <f t="shared" si="50"/>
        <v xml:space="preserve"> </v>
      </c>
    </row>
    <row r="382" spans="1:13">
      <c r="A382" s="71"/>
      <c r="B382" s="15" t="s">
        <v>4</v>
      </c>
      <c r="C382" s="74"/>
      <c r="D382" s="16"/>
      <c r="E382" s="57"/>
      <c r="F382" s="17"/>
      <c r="G382" s="60"/>
      <c r="H382" s="18" t="str">
        <f t="shared" si="55"/>
        <v xml:space="preserve"> </v>
      </c>
      <c r="I382" s="41"/>
      <c r="K382" s="7" t="str">
        <f t="shared" si="48"/>
        <v xml:space="preserve"> </v>
      </c>
      <c r="L382" s="7" t="str">
        <f t="shared" si="49"/>
        <v xml:space="preserve"> </v>
      </c>
      <c r="M382" s="7" t="str">
        <f t="shared" si="50"/>
        <v xml:space="preserve"> </v>
      </c>
    </row>
    <row r="383" spans="1:13" ht="13.5" thickBot="1">
      <c r="A383" s="72"/>
      <c r="B383" s="19" t="s">
        <v>4</v>
      </c>
      <c r="C383" s="75"/>
      <c r="D383" s="20"/>
      <c r="E383" s="58"/>
      <c r="F383" s="21"/>
      <c r="G383" s="61"/>
      <c r="H383" s="22" t="str">
        <f t="shared" si="55"/>
        <v xml:space="preserve"> </v>
      </c>
      <c r="I383" s="41"/>
      <c r="K383" s="7" t="str">
        <f t="shared" si="48"/>
        <v xml:space="preserve"> </v>
      </c>
      <c r="L383" s="7" t="str">
        <f t="shared" si="49"/>
        <v xml:space="preserve"> </v>
      </c>
      <c r="M383" s="7" t="str">
        <f t="shared" si="50"/>
        <v xml:space="preserve"> </v>
      </c>
    </row>
    <row r="384" spans="1:13">
      <c r="I384" s="40"/>
      <c r="J384" s="37"/>
    </row>
    <row r="385" spans="9:10">
      <c r="I385" s="40"/>
      <c r="J385" s="37"/>
    </row>
    <row r="386" spans="9:10">
      <c r="I386" s="40"/>
      <c r="J386" s="37"/>
    </row>
    <row r="387" spans="9:10">
      <c r="I387" s="40"/>
      <c r="J387" s="37"/>
    </row>
    <row r="388" spans="9:10">
      <c r="I388" s="40"/>
      <c r="J388" s="37"/>
    </row>
    <row r="389" spans="9:10">
      <c r="I389" s="40"/>
      <c r="J389" s="37"/>
    </row>
    <row r="390" spans="9:10">
      <c r="I390" s="40"/>
      <c r="J390" s="37"/>
    </row>
    <row r="391" spans="9:10">
      <c r="I391" s="40"/>
      <c r="J391" s="37"/>
    </row>
    <row r="392" spans="9:10">
      <c r="I392" s="40"/>
      <c r="J392" s="37"/>
    </row>
    <row r="393" spans="9:10">
      <c r="I393" s="40"/>
      <c r="J393" s="37"/>
    </row>
  </sheetData>
  <autoFilter ref="R2:AM23">
    <sortState ref="R4:AM23">
      <sortCondition descending="1" ref="AM2:AM23"/>
    </sortState>
  </autoFilter>
  <sortState ref="R4:AM23">
    <sortCondition descending="1" ref="AM4"/>
  </sortState>
  <mergeCells count="56">
    <mergeCell ref="I54:I63"/>
    <mergeCell ref="A2:C2"/>
    <mergeCell ref="I1:I2"/>
    <mergeCell ref="E1:G2"/>
    <mergeCell ref="H1:H2"/>
    <mergeCell ref="I44:I53"/>
    <mergeCell ref="I4:I13"/>
    <mergeCell ref="I14:I23"/>
    <mergeCell ref="I24:I33"/>
    <mergeCell ref="I34:I43"/>
    <mergeCell ref="I104:I113"/>
    <mergeCell ref="I114:I123"/>
    <mergeCell ref="I84:I93"/>
    <mergeCell ref="I94:I103"/>
    <mergeCell ref="I64:I73"/>
    <mergeCell ref="I74:I83"/>
    <mergeCell ref="I224:I233"/>
    <mergeCell ref="I234:I243"/>
    <mergeCell ref="I214:I223"/>
    <mergeCell ref="I144:I153"/>
    <mergeCell ref="I124:I133"/>
    <mergeCell ref="I134:I143"/>
    <mergeCell ref="I294:I303"/>
    <mergeCell ref="I264:I273"/>
    <mergeCell ref="I274:I283"/>
    <mergeCell ref="I244:I253"/>
    <mergeCell ref="I254:I263"/>
    <mergeCell ref="J4:J8"/>
    <mergeCell ref="J9:J13"/>
    <mergeCell ref="S1:Y1"/>
    <mergeCell ref="Z1:AF1"/>
    <mergeCell ref="AQ4:AV4"/>
    <mergeCell ref="AQ5:AV5"/>
    <mergeCell ref="AQ6:AV6"/>
    <mergeCell ref="AQ7:AV7"/>
    <mergeCell ref="AQ8:AV8"/>
    <mergeCell ref="AQ9:AV9"/>
    <mergeCell ref="AQ10:AV10"/>
    <mergeCell ref="AG1:AM1"/>
    <mergeCell ref="AO12:AT15"/>
    <mergeCell ref="I384:I393"/>
    <mergeCell ref="I154:I163"/>
    <mergeCell ref="I164:I173"/>
    <mergeCell ref="I174:I183"/>
    <mergeCell ref="I184:I193"/>
    <mergeCell ref="I194:I203"/>
    <mergeCell ref="I204:I213"/>
    <mergeCell ref="I364:I373"/>
    <mergeCell ref="I374:I383"/>
    <mergeCell ref="I344:I353"/>
    <mergeCell ref="I354:I363"/>
    <mergeCell ref="I324:I333"/>
    <mergeCell ref="I334:I343"/>
    <mergeCell ref="I304:I313"/>
    <mergeCell ref="I314:I323"/>
    <mergeCell ref="I284:I293"/>
  </mergeCells>
  <conditionalFormatting sqref="A4:A383">
    <cfRule type="expression" dxfId="0" priority="1">
      <formula>"$G$4:$G$383=1"</formula>
    </cfRule>
  </conditionalFormatting>
  <pageMargins left="0.7" right="0.7" top="0.75" bottom="0.75" header="0.3" footer="0.3"/>
  <pageSetup orientation="portrait" horizontalDpi="1200" verticalDpi="1200" r:id="rId1"/>
  <ignoredErrors>
    <ignoredError sqref="C19 C21 C28 C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domacin</vt:lpstr>
      <vt:lpstr>Dvojka</vt:lpstr>
      <vt:lpstr>golovi1</vt:lpstr>
      <vt:lpstr>golovi2</vt:lpstr>
      <vt:lpstr>gost</vt:lpstr>
      <vt:lpstr>IKS</vt:lpstr>
      <vt:lpstr>KEC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FullNameHere</dc:creator>
  <cp:lastModifiedBy>FullNameHere</cp:lastModifiedBy>
  <dcterms:created xsi:type="dcterms:W3CDTF">2011-12-14T16:28:31Z</dcterms:created>
  <dcterms:modified xsi:type="dcterms:W3CDTF">2011-12-14T23:01:36Z</dcterms:modified>
</cp:coreProperties>
</file>