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3"/>
  </bookViews>
  <sheets>
    <sheet name="Upis" sheetId="1" r:id="rId1"/>
    <sheet name="Uspeh" sheetId="2" r:id="rId2"/>
    <sheet name="Statistika" sheetId="3" r:id="rId3"/>
    <sheet name="Sortiranje" sheetId="4" r:id="rId4"/>
    <sheet name="Veće" sheetId="5" r:id="rId5"/>
    <sheet name="Graf" sheetId="6" r:id="rId6"/>
    <sheet name="Pomoc" sheetId="7" r:id="rId7"/>
    <sheet name="B_1" sheetId="8" r:id="rId8"/>
    <sheet name="B_2" sheetId="9" r:id="rId9"/>
    <sheet name="B_3" sheetId="10" r:id="rId10"/>
    <sheet name="B_4" sheetId="11" r:id="rId11"/>
    <sheet name="A" sheetId="12" state="hidden" r:id="rId12"/>
    <sheet name="B" sheetId="13" state="hidden" r:id="rId13"/>
    <sheet name="C" sheetId="14" state="hidden" r:id="rId14"/>
    <sheet name="D" sheetId="15" state="hidden" r:id="rId15"/>
    <sheet name="E" sheetId="16" state="hidden" r:id="rId16"/>
    <sheet name="F" sheetId="17" state="hidden" r:id="rId17"/>
  </sheets>
  <definedNames>
    <definedName name="CRITERIA" localSheetId="14">'D'!$E$41:$E$42</definedName>
    <definedName name="Excel_BuiltIn__FilterDatabase_12">'A'!$A$1:$V$43</definedName>
    <definedName name="Excel_BuiltIn__FilterDatabase_13">'B'!$A$1:$Q$43</definedName>
    <definedName name="Excel_BuiltIn__FilterDatabase_14">'C'!$A$1:$R$41</definedName>
    <definedName name="Excel_BuiltIn__FilterDatabase_16">'E'!$A$2:$Q$37</definedName>
    <definedName name="Excel_BuiltIn__FilterDatabase_17">'F'!$B$2:$L$41</definedName>
    <definedName name="Excel_BuiltIn__FilterDatabase_4">'Sortiranje'!$B$2:$L$41</definedName>
    <definedName name="Excel_BuiltIn__FilterDatabase_3">'Statistika'!$A$1:$S$43</definedName>
    <definedName name="Excel_BuiltIn__FilterDatabase_1">'Upis'!$A$1:$U$42</definedName>
    <definedName name="Excel_BuiltIn__FilterDatabase_2">'Uspeh'!$A$1:$P$43</definedName>
    <definedName name="Excel_BuiltIn_Database_12">'A'!$A$1:$V$43</definedName>
    <definedName name="Sort_4">'Sortiranje'!$B$2:$L$41</definedName>
    <definedName name="Sort">'F'!$B$2:$L$41</definedName>
  </definedNames>
  <calcPr fullCalcOnLoad="1"/>
</workbook>
</file>

<file path=xl/sharedStrings.xml><?xml version="1.0" encoding="utf-8"?>
<sst xmlns="http://schemas.openxmlformats.org/spreadsheetml/2006/main" count="795" uniqueCount="290">
  <si>
    <t>A&amp;A</t>
  </si>
  <si>
    <t xml:space="preserve"> razred  =&gt;</t>
  </si>
  <si>
    <t xml:space="preserve">    odeljenje =&gt;</t>
  </si>
  <si>
    <t xml:space="preserve"> polugodište =&gt;</t>
  </si>
  <si>
    <t xml:space="preserve">          školska godina =&gt;</t>
  </si>
  <si>
    <t>06</t>
  </si>
  <si>
    <t>07</t>
  </si>
  <si>
    <t>?</t>
  </si>
  <si>
    <t xml:space="preserve">        Učenici</t>
  </si>
  <si>
    <t>srp</t>
  </si>
  <si>
    <t>psj</t>
  </si>
  <si>
    <t>lik</t>
  </si>
  <si>
    <t>muz</t>
  </si>
  <si>
    <t>ist</t>
  </si>
  <si>
    <t>geo</t>
  </si>
  <si>
    <t>fiz</t>
  </si>
  <si>
    <t>mat</t>
  </si>
  <si>
    <t>bio</t>
  </si>
  <si>
    <t>hem</t>
  </si>
  <si>
    <t>teh</t>
  </si>
  <si>
    <t>fi.v.</t>
  </si>
  <si>
    <t>izb</t>
  </si>
  <si>
    <t>dsj</t>
  </si>
  <si>
    <t>op1p</t>
  </si>
  <si>
    <t>no1p</t>
  </si>
  <si>
    <t>op2p</t>
  </si>
  <si>
    <t>no2p</t>
  </si>
  <si>
    <t>vlad</t>
  </si>
  <si>
    <t>pol</t>
  </si>
  <si>
    <t>Andjelković Jelena</t>
  </si>
  <si>
    <t>z</t>
  </si>
  <si>
    <t>m</t>
  </si>
  <si>
    <t>Blagojević Nenad</t>
  </si>
  <si>
    <t>Bosanac Ana</t>
  </si>
  <si>
    <t>Brković Olivera</t>
  </si>
  <si>
    <t>Veselinović Nemanja</t>
  </si>
  <si>
    <t>Gligorijević Grigorije</t>
  </si>
  <si>
    <t>00</t>
  </si>
  <si>
    <t>Djordjević Ivana</t>
  </si>
  <si>
    <t>01</t>
  </si>
  <si>
    <t>Ivković Jelena</t>
  </si>
  <si>
    <t>02</t>
  </si>
  <si>
    <t>Jelisavac Jovana</t>
  </si>
  <si>
    <t>03</t>
  </si>
  <si>
    <t>Knežić Filip</t>
  </si>
  <si>
    <t>04</t>
  </si>
  <si>
    <t>Lazarević Milena</t>
  </si>
  <si>
    <t>05</t>
  </si>
  <si>
    <t>Masleša Marija</t>
  </si>
  <si>
    <t>Mijajlović Marko</t>
  </si>
  <si>
    <t>Milanović Sara</t>
  </si>
  <si>
    <t>08</t>
  </si>
  <si>
    <t>Milošević Stefan</t>
  </si>
  <si>
    <t>09</t>
  </si>
  <si>
    <t>Novaković Milena</t>
  </si>
  <si>
    <t>10</t>
  </si>
  <si>
    <t>Orbanović Gradimir</t>
  </si>
  <si>
    <t>11</t>
  </si>
  <si>
    <t>Poček Sonja</t>
  </si>
  <si>
    <t>12</t>
  </si>
  <si>
    <t>Rozman Marko</t>
  </si>
  <si>
    <t>13</t>
  </si>
  <si>
    <t>Stojanović Jovan</t>
  </si>
  <si>
    <t>14</t>
  </si>
  <si>
    <t>Tadić Vesna</t>
  </si>
  <si>
    <t>15</t>
  </si>
  <si>
    <t>Misailović Jovana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</si>
  <si>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</si>
  <si>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</si>
  <si>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</si>
  <si>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</si>
  <si>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</si>
  <si>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</si>
  <si>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</si>
  <si>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</si>
  <si>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                   Rezultati</t>
  </si>
  <si>
    <t xml:space="preserve">      Prvo polugodište</t>
  </si>
  <si>
    <t xml:space="preserve">     Drugo polugodište</t>
  </si>
  <si>
    <t xml:space="preserve">       Na kraju godine</t>
  </si>
  <si>
    <t xml:space="preserve">  Uspeh</t>
  </si>
  <si>
    <t>Prosek</t>
  </si>
  <si>
    <t>Br. jed</t>
  </si>
  <si>
    <t>oprav.</t>
  </si>
  <si>
    <t>neopr.</t>
  </si>
  <si>
    <t>ukupno</t>
  </si>
  <si>
    <t xml:space="preserve">ukupno </t>
  </si>
  <si>
    <t xml:space="preserve">    Odeljenje: </t>
  </si>
  <si>
    <t xml:space="preserve">  Polugodište:</t>
  </si>
  <si>
    <t xml:space="preserve">       Školska godina: </t>
  </si>
  <si>
    <t xml:space="preserve">Broj ocena po predmetima </t>
  </si>
  <si>
    <t xml:space="preserve">   ocene </t>
  </si>
  <si>
    <t>fizika</t>
  </si>
  <si>
    <t>tehn</t>
  </si>
  <si>
    <t>srednja ocena</t>
  </si>
  <si>
    <t xml:space="preserve">     Uspeh  </t>
  </si>
  <si>
    <t>Uspeh izražen u procentima</t>
  </si>
  <si>
    <t>Broj slabih po predmetima</t>
  </si>
  <si>
    <t xml:space="preserve">procenat </t>
  </si>
  <si>
    <t>Srpski jezik</t>
  </si>
  <si>
    <t>I str. jezik</t>
  </si>
  <si>
    <t xml:space="preserve">Likovno </t>
  </si>
  <si>
    <t>Muzičko</t>
  </si>
  <si>
    <t>Istorija</t>
  </si>
  <si>
    <t>Geografija</t>
  </si>
  <si>
    <t>Fizika</t>
  </si>
  <si>
    <t>br. učenika</t>
  </si>
  <si>
    <t>procenat:</t>
  </si>
  <si>
    <t>Matematika</t>
  </si>
  <si>
    <t>Biologija</t>
  </si>
  <si>
    <t xml:space="preserve">Hemija </t>
  </si>
  <si>
    <t>Tehničko</t>
  </si>
  <si>
    <t>Fizičko</t>
  </si>
  <si>
    <t>Izborni</t>
  </si>
  <si>
    <t>II str. jezik</t>
  </si>
  <si>
    <t>do 25</t>
  </si>
  <si>
    <t>preko 25 do 1/3</t>
  </si>
  <si>
    <t>preko trećine</t>
  </si>
  <si>
    <t xml:space="preserve">     ukupno</t>
  </si>
  <si>
    <t>Broj ocena</t>
  </si>
  <si>
    <t>procenat</t>
  </si>
  <si>
    <t>Opravdani</t>
  </si>
  <si>
    <t>br.uč.</t>
  </si>
  <si>
    <t>br.čas.</t>
  </si>
  <si>
    <t>br.čas</t>
  </si>
  <si>
    <t>br. petica</t>
  </si>
  <si>
    <t>I polugodište</t>
  </si>
  <si>
    <t>br. četvoraka</t>
  </si>
  <si>
    <t>II polugodište</t>
  </si>
  <si>
    <t>br. trojaka</t>
  </si>
  <si>
    <t xml:space="preserve"> </t>
  </si>
  <si>
    <t>kraj godine</t>
  </si>
  <si>
    <t>br. dvojaka</t>
  </si>
  <si>
    <t>br. slabih</t>
  </si>
  <si>
    <t>od 8 do 17</t>
  </si>
  <si>
    <t>od 18 do 24</t>
  </si>
  <si>
    <t>preko 25</t>
  </si>
  <si>
    <t>Neopravdani</t>
  </si>
  <si>
    <t>Disciplina</t>
  </si>
  <si>
    <t>br. odličnih</t>
  </si>
  <si>
    <t>br. vrlodobrih</t>
  </si>
  <si>
    <t>br. dobrih</t>
  </si>
  <si>
    <t>br. dovoljnih</t>
  </si>
  <si>
    <t>Ukupno opravdanih, neopravdanih i prosek u I polugodistu</t>
  </si>
  <si>
    <t>br. nedov.</t>
  </si>
  <si>
    <t>Ukupno opravdanih, neopravdanih i prosek u II polugodistu</t>
  </si>
  <si>
    <t>srednja oc.</t>
  </si>
  <si>
    <t>Ukupno opravdanih, neopravdanih i prosek na kraju god.</t>
  </si>
  <si>
    <t xml:space="preserve">       Učenici</t>
  </si>
  <si>
    <t>Uspeh</t>
  </si>
  <si>
    <t>Br.slabih</t>
  </si>
  <si>
    <t xml:space="preserve">          Disciplina</t>
  </si>
  <si>
    <t>Ukori</t>
  </si>
  <si>
    <t xml:space="preserve">Prosek svih </t>
  </si>
  <si>
    <t>24</t>
  </si>
  <si>
    <t xml:space="preserve">  polugodište školske</t>
  </si>
  <si>
    <t xml:space="preserve">Odeljenje      </t>
  </si>
  <si>
    <t xml:space="preserve">          Uspeh učenika na kraju</t>
  </si>
  <si>
    <t>polugodišta:</t>
  </si>
  <si>
    <t>Broj slabih po predmetima:</t>
  </si>
  <si>
    <t xml:space="preserve">U odeljenju  ima     </t>
  </si>
  <si>
    <t>uč.</t>
  </si>
  <si>
    <t xml:space="preserve">Broj dečaka je </t>
  </si>
  <si>
    <t>Prvi strani jezik</t>
  </si>
  <si>
    <t>Broj devojčica</t>
  </si>
  <si>
    <t>Likovno</t>
  </si>
  <si>
    <t xml:space="preserve">Bez slabih ocena je:   </t>
  </si>
  <si>
    <t>Muzicko</t>
  </si>
  <si>
    <t>Sa slabim ocenama je:</t>
  </si>
  <si>
    <t>Neocenjenih učenika je:</t>
  </si>
  <si>
    <t>Gografija</t>
  </si>
  <si>
    <t>Broj odličnih ucenika:</t>
  </si>
  <si>
    <t xml:space="preserve">Fizika </t>
  </si>
  <si>
    <t>Broj vrlodobrih ucenika:</t>
  </si>
  <si>
    <t>Matiš</t>
  </si>
  <si>
    <t>Broj dobrih ucenika:</t>
  </si>
  <si>
    <t>Broj dovoljnih ucenika:</t>
  </si>
  <si>
    <t>Hemija</t>
  </si>
  <si>
    <t>Broj nedovoljnih ucenika:</t>
  </si>
  <si>
    <t>Tehnicko</t>
  </si>
  <si>
    <t>Fizicko</t>
  </si>
  <si>
    <t>Sa jednom slabom ocenom :</t>
  </si>
  <si>
    <t>Sa dve  slabe ocene:</t>
  </si>
  <si>
    <t>Drugi strani jezik</t>
  </si>
  <si>
    <t>Sa tri i više slabih ocena:</t>
  </si>
  <si>
    <t>Ukupno slabih</t>
  </si>
  <si>
    <t>Sa četiri i više slabih ocena:</t>
  </si>
  <si>
    <t>Sa pet i više slabih ocena:</t>
  </si>
  <si>
    <t>Izostanci:</t>
  </si>
  <si>
    <t>Srednja ocena bez izbornog pr:</t>
  </si>
  <si>
    <t>Opravdani:</t>
  </si>
  <si>
    <t>Srednja ocena sa izbornim pr:</t>
  </si>
  <si>
    <t>Neopravdani:</t>
  </si>
  <si>
    <t>Ukupno:</t>
  </si>
  <si>
    <t>Jos po nesto:</t>
  </si>
  <si>
    <t>Izostanci na kraju godine:</t>
  </si>
  <si>
    <t>Uče drugi strani jezik</t>
  </si>
  <si>
    <t>Ne uce drugi strani jezik</t>
  </si>
  <si>
    <t>Uče izborni predmet</t>
  </si>
  <si>
    <t>Ukupno</t>
  </si>
  <si>
    <t>Ne uče izborni predmet</t>
  </si>
  <si>
    <t>Učenici sa prosekom 5,00:</t>
  </si>
  <si>
    <t>Učenici sa jednom slabom ocenom:</t>
  </si>
  <si>
    <t>Učenici sa dve slabe ocene:</t>
  </si>
  <si>
    <t>Učenici sa tri i vise slabih ocena:</t>
  </si>
  <si>
    <t>Učenici sa smanjenom ocenom iz vladanja:</t>
  </si>
  <si>
    <t>Učenici sa osvojenim nagradama:</t>
  </si>
  <si>
    <t>Uspeh po predmetima</t>
  </si>
  <si>
    <t>Canić Jana</t>
  </si>
  <si>
    <t xml:space="preserve">    polugodište =&gt;</t>
  </si>
  <si>
    <t xml:space="preserve">      školska godina =&gt;</t>
  </si>
  <si>
    <t>IME UČENIKA</t>
  </si>
  <si>
    <t>USPEH</t>
  </si>
  <si>
    <t>prosek</t>
  </si>
  <si>
    <t>br.jed</t>
  </si>
  <si>
    <t>opr 1p</t>
  </si>
  <si>
    <t>neo.1p</t>
  </si>
  <si>
    <t>opr.2p</t>
  </si>
  <si>
    <t>neo.2p</t>
  </si>
  <si>
    <t xml:space="preserve">       na kraju godine</t>
  </si>
  <si>
    <t>opr.</t>
  </si>
  <si>
    <t>neop</t>
  </si>
  <si>
    <t>inf</t>
  </si>
  <si>
    <t>R E Z U L T A T I</t>
  </si>
  <si>
    <t xml:space="preserve">broj ocena po predmetima </t>
  </si>
  <si>
    <t>eng</t>
  </si>
  <si>
    <t>mata</t>
  </si>
  <si>
    <t>bios</t>
  </si>
  <si>
    <t>nem</t>
  </si>
  <si>
    <t>broj  petica</t>
  </si>
  <si>
    <r>
      <t xml:space="preserve">broj </t>
    </r>
    <r>
      <rPr>
        <b/>
        <sz val="10"/>
        <rFont val="Arial CE"/>
        <family val="2"/>
      </rPr>
      <t>četvoraka</t>
    </r>
  </si>
  <si>
    <t>broj trojaka</t>
  </si>
  <si>
    <t>broj dvojaka</t>
  </si>
  <si>
    <t>broj jedinica</t>
  </si>
  <si>
    <t>prosek sa inf indirektno</t>
  </si>
  <si>
    <t>direktno</t>
  </si>
  <si>
    <t>direktno sa info</t>
  </si>
  <si>
    <t>uspeh učenika</t>
  </si>
  <si>
    <t>broj odličnih</t>
  </si>
  <si>
    <t>procenat odličnih</t>
  </si>
  <si>
    <t xml:space="preserve">proc. </t>
  </si>
  <si>
    <t xml:space="preserve">broj vrlodobrih  </t>
  </si>
  <si>
    <t>procenat vrlodobrih</t>
  </si>
  <si>
    <t>broj dobrih</t>
  </si>
  <si>
    <t>procenat dobrih</t>
  </si>
  <si>
    <t>Engleski jezik</t>
  </si>
  <si>
    <t>broj dovoljnih</t>
  </si>
  <si>
    <t>procenat dovoljnih</t>
  </si>
  <si>
    <t>broj nedovoljnih</t>
  </si>
  <si>
    <t>procenat nedovoljnih</t>
  </si>
  <si>
    <t>broj neocenjenih</t>
  </si>
  <si>
    <t>procenat neocenjenih</t>
  </si>
  <si>
    <t>ukupno pozitivnih</t>
  </si>
  <si>
    <t>procenat pozitivnih</t>
  </si>
  <si>
    <r>
      <t>br u</t>
    </r>
    <r>
      <rPr>
        <b/>
        <sz val="10"/>
        <rFont val="Arial CE"/>
        <family val="2"/>
      </rPr>
      <t>č</t>
    </r>
    <r>
      <rPr>
        <b/>
        <sz val="10"/>
        <rFont val="Arial"/>
        <family val="2"/>
      </rPr>
      <t>enika:</t>
    </r>
  </si>
  <si>
    <t>sa 1 slabom</t>
  </si>
  <si>
    <r>
      <t>u</t>
    </r>
    <r>
      <rPr>
        <b/>
        <sz val="10"/>
        <rFont val="Arial CE"/>
        <family val="2"/>
      </rPr>
      <t xml:space="preserve">čenika </t>
    </r>
    <r>
      <rPr>
        <b/>
        <sz val="10"/>
        <rFont val="Arial"/>
        <family val="2"/>
      </rPr>
      <t>sa 1. slabom</t>
    </r>
  </si>
  <si>
    <t xml:space="preserve">sa 2 slabe  </t>
  </si>
  <si>
    <r>
      <t>u</t>
    </r>
    <r>
      <rPr>
        <b/>
        <sz val="10"/>
        <rFont val="Arial CE"/>
        <family val="2"/>
      </rPr>
      <t>č</t>
    </r>
    <r>
      <rPr>
        <b/>
        <sz val="10"/>
        <rFont val="Arial"/>
        <family val="2"/>
      </rPr>
      <t>enika sa 2. slabe</t>
    </r>
  </si>
  <si>
    <t>biol</t>
  </si>
  <si>
    <t>sa 3 i više slabih</t>
  </si>
  <si>
    <r>
      <t>u</t>
    </r>
    <r>
      <rPr>
        <b/>
        <sz val="10"/>
        <rFont val="Arial CE"/>
        <family val="2"/>
      </rPr>
      <t>č</t>
    </r>
    <r>
      <rPr>
        <b/>
        <sz val="10"/>
        <rFont val="Arial"/>
        <family val="2"/>
      </rPr>
      <t>enika sa 3. i više slabih</t>
    </r>
  </si>
  <si>
    <t>sa 4 i više slabih</t>
  </si>
  <si>
    <r>
      <t>u</t>
    </r>
    <r>
      <rPr>
        <b/>
        <sz val="10"/>
        <rFont val="Arial CE"/>
        <family val="2"/>
      </rPr>
      <t>č</t>
    </r>
    <r>
      <rPr>
        <b/>
        <sz val="10"/>
        <rFont val="Arial"/>
        <family val="2"/>
      </rPr>
      <t>enika sa 4. i više slabih</t>
    </r>
  </si>
  <si>
    <t>sa 5 i više slabih</t>
  </si>
  <si>
    <r>
      <t>u</t>
    </r>
    <r>
      <rPr>
        <b/>
        <sz val="10"/>
        <rFont val="Arial CE"/>
        <family val="2"/>
      </rPr>
      <t>č</t>
    </r>
    <r>
      <rPr>
        <b/>
        <sz val="10"/>
        <rFont val="Arial"/>
        <family val="2"/>
      </rPr>
      <t>enika sa 5. i više slabih</t>
    </r>
  </si>
  <si>
    <t xml:space="preserve">fizičko </t>
  </si>
  <si>
    <t>izborni</t>
  </si>
  <si>
    <t xml:space="preserve">         opravdani izostanci</t>
  </si>
  <si>
    <t xml:space="preserve">      do 25</t>
  </si>
  <si>
    <t>od 25 do 1/3</t>
  </si>
  <si>
    <t>preko 50</t>
  </si>
  <si>
    <t>trecina</t>
  </si>
  <si>
    <t>&lt;=25</t>
  </si>
  <si>
    <t>&gt;25</t>
  </si>
  <si>
    <t>preko1/3</t>
  </si>
  <si>
    <t>na kraju godine</t>
  </si>
  <si>
    <t xml:space="preserve">      neopravdani izostanci</t>
  </si>
  <si>
    <t>od 20 do 50</t>
  </si>
  <si>
    <t>[8-17)</t>
  </si>
  <si>
    <t>[18-24)</t>
  </si>
  <si>
    <t>25&gt;</t>
  </si>
  <si>
    <t>ukupno opravdanih i neopravdanih u I polugodištu</t>
  </si>
  <si>
    <t>ukupno opravdanih i neopravdanih u II polugodištu</t>
  </si>
  <si>
    <t>ukupno opravdanih i neopravdanih na kraju godine</t>
  </si>
  <si>
    <t>br.5</t>
  </si>
  <si>
    <t>br.4</t>
  </si>
  <si>
    <t>br.1</t>
  </si>
  <si>
    <t>sredoc.</t>
  </si>
  <si>
    <t>procenat ocena</t>
  </si>
  <si>
    <t>Ukor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</si>
</sst>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\$* #,##0.00_);_(\$* \(#,##0.00\);_(\$* \-??_);_(@_)"/>
    <numFmt numFmtId="166" formatCode="0_);\(0\)"/>
    <numFmt numFmtId="167" formatCode="@"/>
    <numFmt numFmtId="168" formatCode="_(* #,##0.00_);_(* \(#,##0.00\);_(* \-??_);_(@_)"/>
    <numFmt numFmtId="169" formatCode="0"/>
    <numFmt numFmtId="170" formatCode="0.0"/>
    <numFmt numFmtId="171" formatCode="0.00"/>
    <numFmt numFmtId="172" formatCode="_(* #,##0_);_(* \(#,##0\);_(* \-??_);_(@_)"/>
    <numFmt numFmtId="173" formatCode="0.000;[RED]0.000"/>
    <numFmt numFmtId="174" formatCode="0%"/>
    <numFmt numFmtId="175" formatCode="0.00%"/>
    <numFmt numFmtId="176" formatCode="0.000"/>
    <numFmt numFmtId="177" formatCode="#,##0.000"/>
    <numFmt numFmtId="178" formatCode="#,##0"/>
  </numFmts>
  <fonts count="57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b/>
      <sz val="8"/>
      <color indexed="23"/>
      <name val="Arial CE"/>
      <family val="2"/>
    </font>
    <font>
      <b/>
      <sz val="10"/>
      <color indexed="44"/>
      <name val="Arial CE"/>
      <family val="2"/>
    </font>
    <font>
      <b/>
      <sz val="10"/>
      <color indexed="63"/>
      <name val="Arial CE"/>
      <family val="2"/>
    </font>
    <font>
      <b/>
      <sz val="10"/>
      <color indexed="59"/>
      <name val="Arial CE"/>
      <family val="2"/>
    </font>
    <font>
      <b/>
      <sz val="10"/>
      <color indexed="48"/>
      <name val="Arial CE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58"/>
      <name val="Arial CE"/>
      <family val="2"/>
    </font>
    <font>
      <b/>
      <sz val="10"/>
      <color indexed="16"/>
      <name val="Arial CE"/>
      <family val="2"/>
    </font>
    <font>
      <b/>
      <sz val="10"/>
      <color indexed="18"/>
      <name val="Arial CE"/>
      <family val="2"/>
    </font>
    <font>
      <sz val="10"/>
      <name val="Arial CE"/>
      <family val="2"/>
    </font>
    <font>
      <b/>
      <sz val="8"/>
      <color indexed="55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62"/>
      <name val="Arial CE"/>
      <family val="2"/>
    </font>
    <font>
      <sz val="10"/>
      <color indexed="8"/>
      <name val="Arial CE"/>
      <family val="2"/>
    </font>
    <font>
      <b/>
      <sz val="8"/>
      <color indexed="9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b/>
      <sz val="11"/>
      <color indexed="18"/>
      <name val="Arial"/>
      <family val="2"/>
    </font>
    <font>
      <b/>
      <sz val="11"/>
      <color indexed="16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8"/>
      <name val="Arial CE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b/>
      <i/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42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42"/>
      </top>
      <bottom style="thin">
        <color indexed="42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498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5" fontId="17" fillId="18" borderId="0" xfId="17" applyFont="1" applyFill="1" applyBorder="1" applyAlignment="1" applyProtection="1">
      <alignment horizontal="center" vertical="center"/>
      <protection locked="0"/>
    </xf>
    <xf numFmtId="166" fontId="18" fillId="18" borderId="0" xfId="17" applyNumberFormat="1" applyFont="1" applyFill="1" applyBorder="1" applyAlignment="1" applyProtection="1">
      <alignment horizontal="left" vertical="center"/>
      <protection locked="0"/>
    </xf>
    <xf numFmtId="166" fontId="19" fillId="18" borderId="10" xfId="17" applyNumberFormat="1" applyFont="1" applyFill="1" applyBorder="1" applyAlignment="1" applyProtection="1">
      <alignment horizontal="center" vertical="center"/>
      <protection locked="0"/>
    </xf>
    <xf numFmtId="166" fontId="19" fillId="18" borderId="10" xfId="0" applyNumberFormat="1" applyFont="1" applyFill="1" applyBorder="1" applyAlignment="1" applyProtection="1">
      <alignment horizontal="center" vertical="center"/>
      <protection locked="0"/>
    </xf>
    <xf numFmtId="167" fontId="19" fillId="18" borderId="10" xfId="0" applyNumberFormat="1" applyFont="1" applyFill="1" applyBorder="1" applyAlignment="1" applyProtection="1">
      <alignment horizontal="center" vertical="center"/>
      <protection locked="0"/>
    </xf>
    <xf numFmtId="167" fontId="20" fillId="18" borderId="10" xfId="0" applyNumberFormat="1" applyFont="1" applyFill="1" applyBorder="1" applyAlignment="1" applyProtection="1">
      <alignment horizontal="center" vertical="center"/>
      <protection locked="0"/>
    </xf>
    <xf numFmtId="166" fontId="21" fillId="18" borderId="0" xfId="0" applyNumberFormat="1" applyFont="1" applyFill="1" applyBorder="1" applyAlignment="1" applyProtection="1">
      <alignment vertical="center"/>
      <protection locked="0"/>
    </xf>
    <xf numFmtId="164" fontId="22" fillId="18" borderId="0" xfId="20" applyNumberFormat="1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 vertical="center"/>
      <protection locked="0"/>
    </xf>
    <xf numFmtId="166" fontId="24" fillId="18" borderId="0" xfId="0" applyNumberFormat="1" applyFont="1" applyFill="1" applyAlignment="1" applyProtection="1">
      <alignment horizontal="center"/>
      <protection locked="0"/>
    </xf>
    <xf numFmtId="166" fontId="25" fillId="5" borderId="11" xfId="0" applyNumberFormat="1" applyFont="1" applyFill="1" applyBorder="1" applyAlignment="1" applyProtection="1">
      <alignment horizontal="left"/>
      <protection locked="0"/>
    </xf>
    <xf numFmtId="166" fontId="24" fillId="5" borderId="12" xfId="15" applyNumberFormat="1" applyFont="1" applyFill="1" applyBorder="1" applyAlignment="1" applyProtection="1">
      <alignment horizontal="center"/>
      <protection locked="0"/>
    </xf>
    <xf numFmtId="166" fontId="24" fillId="5" borderId="12" xfId="0" applyNumberFormat="1" applyFont="1" applyFill="1" applyBorder="1" applyAlignment="1" applyProtection="1">
      <alignment horizontal="center"/>
      <protection locked="0"/>
    </xf>
    <xf numFmtId="166" fontId="24" fillId="5" borderId="12" xfId="17" applyNumberFormat="1" applyFont="1" applyFill="1" applyBorder="1" applyAlignment="1" applyProtection="1">
      <alignment horizontal="center"/>
      <protection locked="0"/>
    </xf>
    <xf numFmtId="166" fontId="24" fillId="5" borderId="13" xfId="0" applyNumberFormat="1" applyFont="1" applyFill="1" applyBorder="1" applyAlignment="1" applyProtection="1">
      <alignment horizontal="center"/>
      <protection locked="0"/>
    </xf>
    <xf numFmtId="166" fontId="24" fillId="5" borderId="14" xfId="0" applyNumberFormat="1" applyFont="1" applyFill="1" applyBorder="1" applyAlignment="1" applyProtection="1">
      <alignment horizontal="left"/>
      <protection locked="0"/>
    </xf>
    <xf numFmtId="166" fontId="24" fillId="0" borderId="15" xfId="15" applyNumberFormat="1" applyFont="1" applyFill="1" applyBorder="1" applyAlignment="1" applyProtection="1">
      <alignment horizontal="center"/>
      <protection locked="0"/>
    </xf>
    <xf numFmtId="166" fontId="24" fillId="0" borderId="16" xfId="15" applyNumberFormat="1" applyFont="1" applyFill="1" applyBorder="1" applyAlignment="1" applyProtection="1">
      <alignment horizontal="center"/>
      <protection locked="0"/>
    </xf>
    <xf numFmtId="166" fontId="26" fillId="0" borderId="16" xfId="0" applyNumberFormat="1" applyFont="1" applyFill="1" applyBorder="1" applyAlignment="1" applyProtection="1">
      <alignment horizontal="center"/>
      <protection locked="0"/>
    </xf>
    <xf numFmtId="166" fontId="27" fillId="0" borderId="16" xfId="0" applyNumberFormat="1" applyFont="1" applyFill="1" applyBorder="1" applyAlignment="1" applyProtection="1">
      <alignment horizontal="center"/>
      <protection locked="0"/>
    </xf>
    <xf numFmtId="166" fontId="28" fillId="0" borderId="16" xfId="0" applyNumberFormat="1" applyFont="1" applyFill="1" applyBorder="1" applyAlignment="1" applyProtection="1">
      <alignment horizontal="center"/>
      <protection locked="0"/>
    </xf>
    <xf numFmtId="167" fontId="19" fillId="0" borderId="17" xfId="0" applyNumberFormat="1" applyFont="1" applyFill="1" applyBorder="1" applyAlignment="1" applyProtection="1">
      <alignment horizontal="center"/>
      <protection locked="0"/>
    </xf>
    <xf numFmtId="166" fontId="24" fillId="5" borderId="18" xfId="0" applyNumberFormat="1" applyFont="1" applyFill="1" applyBorder="1" applyAlignment="1" applyProtection="1">
      <alignment horizontal="left"/>
      <protection locked="0"/>
    </xf>
    <xf numFmtId="166" fontId="24" fillId="0" borderId="19" xfId="15" applyNumberFormat="1" applyFont="1" applyFill="1" applyBorder="1" applyAlignment="1" applyProtection="1">
      <alignment horizontal="center"/>
      <protection locked="0"/>
    </xf>
    <xf numFmtId="166" fontId="24" fillId="0" borderId="20" xfId="15" applyNumberFormat="1" applyFont="1" applyFill="1" applyBorder="1" applyAlignment="1" applyProtection="1">
      <alignment horizontal="center"/>
      <protection locked="0"/>
    </xf>
    <xf numFmtId="166" fontId="26" fillId="0" borderId="20" xfId="0" applyNumberFormat="1" applyFont="1" applyFill="1" applyBorder="1" applyAlignment="1" applyProtection="1">
      <alignment horizontal="center"/>
      <protection locked="0"/>
    </xf>
    <xf numFmtId="166" fontId="27" fillId="0" borderId="20" xfId="0" applyNumberFormat="1" applyFont="1" applyFill="1" applyBorder="1" applyAlignment="1" applyProtection="1">
      <alignment horizontal="center"/>
      <protection locked="0"/>
    </xf>
    <xf numFmtId="166" fontId="28" fillId="0" borderId="20" xfId="0" applyNumberFormat="1" applyFont="1" applyFill="1" applyBorder="1" applyAlignment="1" applyProtection="1">
      <alignment horizontal="center"/>
      <protection locked="0"/>
    </xf>
    <xf numFmtId="166" fontId="24" fillId="5" borderId="18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Alignment="1" applyProtection="1">
      <alignment horizontal="center"/>
      <protection locked="0"/>
    </xf>
    <xf numFmtId="166" fontId="24" fillId="0" borderId="21" xfId="15" applyNumberFormat="1" applyFont="1" applyFill="1" applyBorder="1" applyAlignment="1" applyProtection="1">
      <alignment horizontal="center"/>
      <protection locked="0"/>
    </xf>
    <xf numFmtId="166" fontId="28" fillId="0" borderId="22" xfId="0" applyNumberFormat="1" applyFont="1" applyFill="1" applyBorder="1" applyAlignment="1" applyProtection="1">
      <alignment horizontal="center"/>
      <protection locked="0"/>
    </xf>
    <xf numFmtId="166" fontId="24" fillId="18" borderId="0" xfId="0" applyNumberFormat="1" applyFont="1" applyFill="1" applyBorder="1" applyAlignment="1" applyProtection="1">
      <alignment horizontal="center"/>
      <protection locked="0"/>
    </xf>
    <xf numFmtId="166" fontId="28" fillId="0" borderId="21" xfId="15" applyNumberFormat="1" applyFont="1" applyFill="1" applyBorder="1" applyAlignment="1" applyProtection="1">
      <alignment horizontal="center"/>
      <protection locked="0"/>
    </xf>
    <xf numFmtId="166" fontId="24" fillId="18" borderId="23" xfId="0" applyNumberFormat="1" applyFont="1" applyFill="1" applyBorder="1" applyAlignment="1" applyProtection="1">
      <alignment horizontal="center"/>
      <protection locked="0"/>
    </xf>
    <xf numFmtId="166" fontId="24" fillId="5" borderId="24" xfId="0" applyNumberFormat="1" applyFont="1" applyFill="1" applyBorder="1" applyAlignment="1" applyProtection="1">
      <alignment/>
      <protection locked="0"/>
    </xf>
    <xf numFmtId="166" fontId="24" fillId="5" borderId="10" xfId="15" applyNumberFormat="1" applyFont="1" applyFill="1" applyBorder="1" applyAlignment="1" applyProtection="1">
      <alignment horizontal="center"/>
      <protection locked="0"/>
    </xf>
    <xf numFmtId="166" fontId="24" fillId="5" borderId="10" xfId="0" applyNumberFormat="1" applyFont="1" applyFill="1" applyBorder="1" applyAlignment="1" applyProtection="1">
      <alignment horizontal="center"/>
      <protection locked="0"/>
    </xf>
    <xf numFmtId="166" fontId="24" fillId="5" borderId="10" xfId="17" applyNumberFormat="1" applyFont="1" applyFill="1" applyBorder="1" applyAlignment="1" applyProtection="1">
      <alignment horizontal="center"/>
      <protection locked="0"/>
    </xf>
    <xf numFmtId="166" fontId="24" fillId="5" borderId="25" xfId="0" applyNumberFormat="1" applyFont="1" applyFill="1" applyBorder="1" applyAlignment="1" applyProtection="1">
      <alignment horizontal="center"/>
      <protection locked="0"/>
    </xf>
    <xf numFmtId="166" fontId="29" fillId="18" borderId="0" xfId="0" applyNumberFormat="1" applyFont="1" applyFill="1" applyAlignment="1" applyProtection="1">
      <alignment horizontal="center"/>
      <protection locked="0"/>
    </xf>
    <xf numFmtId="166" fontId="24" fillId="18" borderId="0" xfId="0" applyNumberFormat="1" applyFont="1" applyFill="1" applyAlignment="1" applyProtection="1">
      <alignment/>
      <protection locked="0"/>
    </xf>
    <xf numFmtId="166" fontId="24" fillId="18" borderId="0" xfId="15" applyNumberFormat="1" applyFont="1" applyFill="1" applyBorder="1" applyAlignment="1" applyProtection="1">
      <alignment horizontal="center"/>
      <protection locked="0"/>
    </xf>
    <xf numFmtId="166" fontId="24" fillId="18" borderId="0" xfId="0" applyNumberFormat="1" applyFont="1" applyFill="1" applyAlignment="1" applyProtection="1">
      <alignment horizontal="right"/>
      <protection locked="0"/>
    </xf>
    <xf numFmtId="166" fontId="24" fillId="18" borderId="0" xfId="17" applyNumberFormat="1" applyFont="1" applyFill="1" applyBorder="1" applyAlignment="1" applyProtection="1">
      <alignment horizontal="center"/>
      <protection locked="0"/>
    </xf>
    <xf numFmtId="169" fontId="30" fillId="18" borderId="0" xfId="0" applyNumberFormat="1" applyFont="1" applyFill="1" applyBorder="1" applyAlignment="1" applyProtection="1">
      <alignment horizontal="center" vertical="center"/>
      <protection locked="0"/>
    </xf>
    <xf numFmtId="170" fontId="24" fillId="18" borderId="0" xfId="0" applyNumberFormat="1" applyFont="1" applyFill="1" applyBorder="1" applyAlignment="1" applyProtection="1">
      <alignment horizontal="left" vertical="center"/>
      <protection locked="0"/>
    </xf>
    <xf numFmtId="164" fontId="31" fillId="18" borderId="0" xfId="0" applyFont="1" applyFill="1" applyBorder="1" applyAlignment="1" applyProtection="1">
      <alignment horizontal="center" vertical="center"/>
      <protection locked="0"/>
    </xf>
    <xf numFmtId="164" fontId="32" fillId="18" borderId="0" xfId="0" applyFont="1" applyFill="1" applyBorder="1" applyAlignment="1" applyProtection="1">
      <alignment horizontal="left" vertical="center"/>
      <protection locked="0"/>
    </xf>
    <xf numFmtId="164" fontId="32" fillId="18" borderId="0" xfId="0" applyFont="1" applyFill="1" applyBorder="1" applyAlignment="1" applyProtection="1">
      <alignment vertical="center"/>
      <protection locked="0"/>
    </xf>
    <xf numFmtId="164" fontId="32" fillId="18" borderId="0" xfId="0" applyFont="1" applyFill="1" applyBorder="1" applyAlignment="1" applyProtection="1">
      <alignment horizontal="center" vertical="center"/>
      <protection locked="0"/>
    </xf>
    <xf numFmtId="164" fontId="0" fillId="18" borderId="0" xfId="0" applyFill="1" applyBorder="1" applyAlignment="1" applyProtection="1">
      <alignment horizontal="center"/>
      <protection locked="0"/>
    </xf>
    <xf numFmtId="169" fontId="0" fillId="18" borderId="0" xfId="0" applyNumberFormat="1" applyFont="1" applyFill="1" applyBorder="1" applyAlignment="1" applyProtection="1">
      <alignment horizontal="center"/>
      <protection locked="0"/>
    </xf>
    <xf numFmtId="170" fontId="24" fillId="5" borderId="26" xfId="0" applyNumberFormat="1" applyFont="1" applyFill="1" applyBorder="1" applyAlignment="1" applyProtection="1">
      <alignment/>
      <protection locked="0"/>
    </xf>
    <xf numFmtId="169" fontId="24" fillId="5" borderId="27" xfId="0" applyNumberFormat="1" applyFont="1" applyFill="1" applyBorder="1" applyAlignment="1" applyProtection="1">
      <alignment/>
      <protection locked="0"/>
    </xf>
    <xf numFmtId="164" fontId="31" fillId="5" borderId="27" xfId="0" applyFont="1" applyFill="1" applyBorder="1" applyAlignment="1" applyProtection="1">
      <alignment horizontal="left"/>
      <protection locked="0"/>
    </xf>
    <xf numFmtId="171" fontId="24" fillId="5" borderId="27" xfId="0" applyNumberFormat="1" applyFont="1" applyFill="1" applyBorder="1" applyAlignment="1" applyProtection="1">
      <alignment horizontal="center"/>
      <protection locked="0"/>
    </xf>
    <xf numFmtId="164" fontId="31" fillId="5" borderId="27" xfId="0" applyFont="1" applyFill="1" applyBorder="1" applyAlignment="1" applyProtection="1">
      <alignment horizontal="center"/>
      <protection locked="0"/>
    </xf>
    <xf numFmtId="169" fontId="24" fillId="5" borderId="27" xfId="0" applyNumberFormat="1" applyFont="1" applyFill="1" applyBorder="1" applyAlignment="1" applyProtection="1">
      <alignment horizontal="center"/>
      <protection locked="0"/>
    </xf>
    <xf numFmtId="169" fontId="24" fillId="5" borderId="28" xfId="0" applyNumberFormat="1" applyFont="1" applyFill="1" applyBorder="1" applyAlignment="1" applyProtection="1">
      <alignment/>
      <protection locked="0"/>
    </xf>
    <xf numFmtId="164" fontId="0" fillId="18" borderId="0" xfId="0" applyFill="1" applyBorder="1" applyAlignment="1" applyProtection="1">
      <alignment/>
      <protection locked="0"/>
    </xf>
    <xf numFmtId="169" fontId="24" fillId="18" borderId="0" xfId="0" applyNumberFormat="1" applyFont="1" applyFill="1" applyBorder="1" applyAlignment="1" applyProtection="1">
      <alignment horizontal="center"/>
      <protection locked="0"/>
    </xf>
    <xf numFmtId="170" fontId="25" fillId="5" borderId="23" xfId="0" applyNumberFormat="1" applyFont="1" applyFill="1" applyBorder="1" applyAlignment="1" applyProtection="1">
      <alignment/>
      <protection locked="0"/>
    </xf>
    <xf numFmtId="164" fontId="25" fillId="5" borderId="0" xfId="0" applyFont="1" applyFill="1" applyBorder="1" applyAlignment="1" applyProtection="1">
      <alignment/>
      <protection locked="0"/>
    </xf>
    <xf numFmtId="164" fontId="33" fillId="16" borderId="29" xfId="0" applyFont="1" applyFill="1" applyBorder="1" applyAlignment="1" applyProtection="1">
      <alignment vertical="center"/>
      <protection locked="0"/>
    </xf>
    <xf numFmtId="171" fontId="27" fillId="16" borderId="30" xfId="0" applyNumberFormat="1" applyFont="1" applyFill="1" applyBorder="1" applyAlignment="1" applyProtection="1">
      <alignment horizontal="center" vertical="center"/>
      <protection locked="0"/>
    </xf>
    <xf numFmtId="169" fontId="24" fillId="16" borderId="20" xfId="0" applyNumberFormat="1" applyFont="1" applyFill="1" applyBorder="1" applyAlignment="1" applyProtection="1">
      <alignment horizontal="center" vertical="center"/>
      <protection locked="0"/>
    </xf>
    <xf numFmtId="169" fontId="24" fillId="16" borderId="30" xfId="0" applyNumberFormat="1" applyFont="1" applyFill="1" applyBorder="1" applyAlignment="1" applyProtection="1">
      <alignment horizontal="center" vertical="center"/>
      <protection locked="0"/>
    </xf>
    <xf numFmtId="169" fontId="28" fillId="16" borderId="30" xfId="0" applyNumberFormat="1" applyFont="1" applyFill="1" applyBorder="1" applyAlignment="1" applyProtection="1">
      <alignment horizontal="center" vertical="center"/>
      <protection locked="0"/>
    </xf>
    <xf numFmtId="169" fontId="28" fillId="16" borderId="31" xfId="0" applyNumberFormat="1" applyFont="1" applyFill="1" applyBorder="1" applyAlignment="1" applyProtection="1">
      <alignment horizontal="center" vertical="center"/>
      <protection locked="0"/>
    </xf>
    <xf numFmtId="164" fontId="33" fillId="16" borderId="19" xfId="0" applyFont="1" applyFill="1" applyBorder="1" applyAlignment="1" applyProtection="1">
      <alignment vertical="center"/>
      <protection locked="0"/>
    </xf>
    <xf numFmtId="171" fontId="27" fillId="16" borderId="20" xfId="0" applyNumberFormat="1" applyFont="1" applyFill="1" applyBorder="1" applyAlignment="1" applyProtection="1">
      <alignment horizontal="center" vertical="center"/>
      <protection locked="0"/>
    </xf>
    <xf numFmtId="164" fontId="34" fillId="5" borderId="0" xfId="0" applyFont="1" applyFill="1" applyBorder="1" applyAlignment="1" applyProtection="1">
      <alignment/>
      <protection locked="0"/>
    </xf>
    <xf numFmtId="170" fontId="25" fillId="5" borderId="24" xfId="0" applyNumberFormat="1" applyFont="1" applyFill="1" applyBorder="1" applyAlignment="1" applyProtection="1">
      <alignment/>
      <protection locked="0"/>
    </xf>
    <xf numFmtId="164" fontId="34" fillId="5" borderId="25" xfId="0" applyFont="1" applyFill="1" applyBorder="1" applyAlignment="1" applyProtection="1">
      <alignment/>
      <protection locked="0"/>
    </xf>
    <xf numFmtId="164" fontId="33" fillId="16" borderId="32" xfId="0" applyFont="1" applyFill="1" applyBorder="1" applyAlignment="1" applyProtection="1">
      <alignment vertical="center"/>
      <protection locked="0"/>
    </xf>
    <xf numFmtId="171" fontId="27" fillId="16" borderId="33" xfId="0" applyNumberFormat="1" applyFont="1" applyFill="1" applyBorder="1" applyAlignment="1" applyProtection="1">
      <alignment horizontal="center" vertical="center"/>
      <protection locked="0"/>
    </xf>
    <xf numFmtId="169" fontId="35" fillId="5" borderId="26" xfId="0" applyNumberFormat="1" applyFont="1" applyFill="1" applyBorder="1" applyAlignment="1" applyProtection="1">
      <alignment horizontal="center"/>
      <protection locked="0"/>
    </xf>
    <xf numFmtId="164" fontId="0" fillId="5" borderId="27" xfId="0" applyFill="1" applyBorder="1" applyAlignment="1" applyProtection="1">
      <alignment/>
      <protection locked="0"/>
    </xf>
    <xf numFmtId="164" fontId="31" fillId="5" borderId="12" xfId="0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 applyProtection="1">
      <alignment/>
      <protection locked="0"/>
    </xf>
    <xf numFmtId="164" fontId="36" fillId="5" borderId="12" xfId="0" applyNumberFormat="1" applyFont="1" applyFill="1" applyBorder="1" applyAlignment="1" applyProtection="1">
      <alignment horizontal="left"/>
      <protection locked="0"/>
    </xf>
    <xf numFmtId="167" fontId="31" fillId="5" borderId="12" xfId="0" applyNumberFormat="1" applyFont="1" applyFill="1" applyBorder="1" applyAlignment="1" applyProtection="1">
      <alignment horizontal="left"/>
      <protection locked="0"/>
    </xf>
    <xf numFmtId="169" fontId="36" fillId="5" borderId="12" xfId="0" applyNumberFormat="1" applyFont="1" applyFill="1" applyBorder="1" applyAlignment="1" applyProtection="1">
      <alignment horizontal="center"/>
      <protection locked="0"/>
    </xf>
    <xf numFmtId="169" fontId="31" fillId="5" borderId="12" xfId="0" applyNumberFormat="1" applyFont="1" applyFill="1" applyBorder="1" applyAlignment="1" applyProtection="1">
      <alignment horizontal="right"/>
      <protection locked="0"/>
    </xf>
    <xf numFmtId="169" fontId="31" fillId="5" borderId="12" xfId="0" applyNumberFormat="1" applyFont="1" applyFill="1" applyBorder="1" applyAlignment="1" applyProtection="1">
      <alignment horizontal="left"/>
      <protection locked="0"/>
    </xf>
    <xf numFmtId="169" fontId="31" fillId="5" borderId="27" xfId="0" applyNumberFormat="1" applyFont="1" applyFill="1" applyBorder="1" applyAlignment="1" applyProtection="1">
      <alignment horizontal="left"/>
      <protection locked="0"/>
    </xf>
    <xf numFmtId="167" fontId="37" fillId="5" borderId="27" xfId="0" applyNumberFormat="1" applyFont="1" applyFill="1" applyBorder="1" applyAlignment="1" applyProtection="1">
      <alignment horizontal="left"/>
      <protection locked="0"/>
    </xf>
    <xf numFmtId="169" fontId="38" fillId="5" borderId="27" xfId="0" applyNumberFormat="1" applyFont="1" applyFill="1" applyBorder="1" applyAlignment="1" applyProtection="1">
      <alignment horizontal="left"/>
      <protection locked="0"/>
    </xf>
    <xf numFmtId="164" fontId="0" fillId="5" borderId="28" xfId="0" applyFill="1" applyBorder="1" applyAlignment="1" applyProtection="1">
      <alignment/>
      <protection locked="0"/>
    </xf>
    <xf numFmtId="169" fontId="0" fillId="5" borderId="23" xfId="0" applyNumberFormat="1" applyFont="1" applyFill="1" applyBorder="1" applyAlignment="1" applyProtection="1">
      <alignment horizontal="center"/>
      <protection locked="0"/>
    </xf>
    <xf numFmtId="164" fontId="31" fillId="5" borderId="0" xfId="0" applyFont="1" applyFill="1" applyBorder="1" applyAlignment="1" applyProtection="1">
      <alignment horizontal="left"/>
      <protection locked="0"/>
    </xf>
    <xf numFmtId="164" fontId="31" fillId="5" borderId="0" xfId="0" applyFont="1" applyFill="1" applyBorder="1" applyAlignment="1" applyProtection="1">
      <alignment/>
      <protection locked="0"/>
    </xf>
    <xf numFmtId="164" fontId="0" fillId="5" borderId="0" xfId="0" applyFill="1" applyBorder="1" applyAlignment="1" applyProtection="1">
      <alignment/>
      <protection locked="0"/>
    </xf>
    <xf numFmtId="164" fontId="0" fillId="5" borderId="0" xfId="0" applyFont="1" applyFill="1" applyBorder="1" applyAlignment="1" applyProtection="1">
      <alignment/>
      <protection locked="0"/>
    </xf>
    <xf numFmtId="167" fontId="37" fillId="5" borderId="0" xfId="0" applyNumberFormat="1" applyFont="1" applyFill="1" applyBorder="1" applyAlignment="1" applyProtection="1">
      <alignment horizontal="left"/>
      <protection locked="0"/>
    </xf>
    <xf numFmtId="169" fontId="0" fillId="5" borderId="0" xfId="0" applyNumberFormat="1" applyFont="1" applyFill="1" applyBorder="1" applyAlignment="1" applyProtection="1">
      <alignment horizontal="center"/>
      <protection locked="0"/>
    </xf>
    <xf numFmtId="164" fontId="0" fillId="5" borderId="34" xfId="0" applyFill="1" applyBorder="1" applyAlignment="1" applyProtection="1">
      <alignment/>
      <protection locked="0"/>
    </xf>
    <xf numFmtId="164" fontId="24" fillId="19" borderId="0" xfId="0" applyFont="1" applyFill="1" applyBorder="1" applyAlignment="1" applyProtection="1">
      <alignment horizontal="center"/>
      <protection locked="0"/>
    </xf>
    <xf numFmtId="172" fontId="24" fillId="19" borderId="0" xfId="15" applyNumberFormat="1" applyFont="1" applyFill="1" applyBorder="1" applyAlignment="1" applyProtection="1">
      <alignment horizontal="center"/>
      <protection locked="0"/>
    </xf>
    <xf numFmtId="164" fontId="24" fillId="19" borderId="0" xfId="0" applyFont="1" applyFill="1" applyBorder="1" applyAlignment="1" applyProtection="1">
      <alignment horizontal="center"/>
      <protection locked="0"/>
    </xf>
    <xf numFmtId="164" fontId="24" fillId="19" borderId="0" xfId="17" applyNumberFormat="1" applyFont="1" applyFill="1" applyBorder="1" applyAlignment="1" applyProtection="1">
      <alignment horizontal="center"/>
      <protection locked="0"/>
    </xf>
    <xf numFmtId="164" fontId="31" fillId="19" borderId="0" xfId="0" applyNumberFormat="1" applyFont="1" applyFill="1" applyBorder="1" applyAlignment="1" applyProtection="1">
      <alignment horizontal="center"/>
      <protection locked="0"/>
    </xf>
    <xf numFmtId="164" fontId="31" fillId="19" borderId="0" xfId="0" applyFont="1" applyFill="1" applyBorder="1" applyAlignment="1" applyProtection="1">
      <alignment horizontal="center"/>
      <protection locked="0"/>
    </xf>
    <xf numFmtId="170" fontId="24" fillId="19" borderId="0" xfId="0" applyNumberFormat="1" applyFont="1" applyFill="1" applyBorder="1" applyAlignment="1" applyProtection="1">
      <alignment horizontal="center"/>
      <protection locked="0"/>
    </xf>
    <xf numFmtId="167" fontId="31" fillId="19" borderId="0" xfId="0" applyNumberFormat="1" applyFont="1" applyFill="1" applyBorder="1" applyAlignment="1" applyProtection="1">
      <alignment horizontal="center"/>
      <protection locked="0"/>
    </xf>
    <xf numFmtId="164" fontId="39" fillId="4" borderId="0" xfId="0" applyFont="1" applyFill="1" applyBorder="1" applyAlignment="1" applyProtection="1">
      <alignment horizontal="center"/>
      <protection locked="0"/>
    </xf>
    <xf numFmtId="164" fontId="24" fillId="5" borderId="0" xfId="0" applyFont="1" applyFill="1" applyBorder="1" applyAlignment="1" applyProtection="1">
      <alignment horizontal="left"/>
      <protection locked="0"/>
    </xf>
    <xf numFmtId="169" fontId="31" fillId="16" borderId="10" xfId="15" applyNumberFormat="1" applyFont="1" applyFill="1" applyBorder="1" applyAlignment="1" applyProtection="1">
      <alignment horizontal="center"/>
      <protection locked="0"/>
    </xf>
    <xf numFmtId="169" fontId="40" fillId="18" borderId="0" xfId="0" applyNumberFormat="1" applyFont="1" applyFill="1" applyBorder="1" applyAlignment="1" applyProtection="1">
      <alignment horizontal="center"/>
      <protection locked="0"/>
    </xf>
    <xf numFmtId="164" fontId="0" fillId="5" borderId="34" xfId="0" applyFill="1" applyBorder="1" applyAlignment="1" applyProtection="1">
      <alignment horizontal="center"/>
      <protection locked="0"/>
    </xf>
    <xf numFmtId="164" fontId="0" fillId="5" borderId="23" xfId="0" applyFill="1" applyBorder="1" applyAlignment="1" applyProtection="1">
      <alignment/>
      <protection locked="0"/>
    </xf>
    <xf numFmtId="164" fontId="24" fillId="5" borderId="0" xfId="0" applyFont="1" applyFill="1" applyAlignment="1" applyProtection="1">
      <alignment horizontal="left"/>
      <protection locked="0"/>
    </xf>
    <xf numFmtId="169" fontId="31" fillId="16" borderId="12" xfId="15" applyNumberFormat="1" applyFont="1" applyFill="1" applyBorder="1" applyAlignment="1" applyProtection="1">
      <alignment horizontal="center"/>
      <protection locked="0"/>
    </xf>
    <xf numFmtId="169" fontId="31" fillId="16" borderId="0" xfId="15" applyNumberFormat="1" applyFont="1" applyFill="1" applyBorder="1" applyAlignment="1" applyProtection="1">
      <alignment horizontal="center"/>
      <protection locked="0"/>
    </xf>
    <xf numFmtId="164" fontId="24" fillId="19" borderId="0" xfId="0" applyFont="1" applyFill="1" applyAlignment="1" applyProtection="1">
      <alignment/>
      <protection locked="0"/>
    </xf>
    <xf numFmtId="171" fontId="31" fillId="19" borderId="0" xfId="15" applyNumberFormat="1" applyFont="1" applyFill="1" applyBorder="1" applyAlignment="1" applyProtection="1">
      <alignment horizontal="center"/>
      <protection locked="0"/>
    </xf>
    <xf numFmtId="173" fontId="40" fillId="4" borderId="35" xfId="0" applyNumberFormat="1" applyFont="1" applyFill="1" applyBorder="1" applyAlignment="1" applyProtection="1">
      <alignment horizontal="center"/>
      <protection locked="0"/>
    </xf>
    <xf numFmtId="164" fontId="24" fillId="0" borderId="0" xfId="0" applyFont="1" applyFill="1" applyAlignment="1" applyProtection="1">
      <alignment/>
      <protection locked="0"/>
    </xf>
    <xf numFmtId="171" fontId="31" fillId="0" borderId="0" xfId="0" applyNumberFormat="1" applyFont="1" applyFill="1" applyAlignment="1" applyProtection="1">
      <alignment horizontal="center"/>
      <protection locked="0"/>
    </xf>
    <xf numFmtId="164" fontId="0" fillId="0" borderId="0" xfId="0" applyFill="1" applyAlignment="1" applyProtection="1">
      <alignment horizontal="center"/>
      <protection locked="0"/>
    </xf>
    <xf numFmtId="164" fontId="24" fillId="5" borderId="0" xfId="0" applyFont="1" applyFill="1" applyAlignment="1" applyProtection="1">
      <alignment horizontal="center"/>
      <protection locked="0"/>
    </xf>
    <xf numFmtId="164" fontId="31" fillId="5" borderId="0" xfId="0" applyFont="1" applyFill="1" applyAlignment="1" applyProtection="1">
      <alignment horizontal="left"/>
      <protection locked="0"/>
    </xf>
    <xf numFmtId="164" fontId="31" fillId="5" borderId="0" xfId="0" applyFont="1" applyFill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locked="0"/>
    </xf>
    <xf numFmtId="169" fontId="31" fillId="0" borderId="36" xfId="15" applyNumberFormat="1" applyFont="1" applyFill="1" applyBorder="1" applyAlignment="1" applyProtection="1">
      <alignment horizontal="center"/>
      <protection locked="0"/>
    </xf>
    <xf numFmtId="164" fontId="24" fillId="5" borderId="0" xfId="0" applyFont="1" applyFill="1" applyAlignment="1" applyProtection="1">
      <alignment/>
      <protection locked="0"/>
    </xf>
    <xf numFmtId="175" fontId="24" fillId="5" borderId="0" xfId="19" applyNumberFormat="1" applyFont="1" applyFill="1" applyBorder="1" applyAlignment="1" applyProtection="1">
      <alignment horizontal="left"/>
      <protection locked="0"/>
    </xf>
    <xf numFmtId="169" fontId="24" fillId="5" borderId="0" xfId="15" applyNumberFormat="1" applyFont="1" applyFill="1" applyBorder="1" applyAlignment="1" applyProtection="1">
      <alignment/>
      <protection locked="0"/>
    </xf>
    <xf numFmtId="175" fontId="24" fillId="16" borderId="36" xfId="19" applyNumberFormat="1" applyFont="1" applyFill="1" applyBorder="1" applyAlignment="1" applyProtection="1">
      <alignment horizontal="center"/>
      <protection locked="0"/>
    </xf>
    <xf numFmtId="169" fontId="24" fillId="5" borderId="0" xfId="0" applyNumberFormat="1" applyFont="1" applyFill="1" applyAlignment="1" applyProtection="1">
      <alignment horizontal="center"/>
      <protection locked="0"/>
    </xf>
    <xf numFmtId="169" fontId="31" fillId="16" borderId="36" xfId="15" applyNumberFormat="1" applyFont="1" applyFill="1" applyBorder="1" applyAlignment="1" applyProtection="1">
      <alignment horizontal="center"/>
      <protection locked="0"/>
    </xf>
    <xf numFmtId="169" fontId="31" fillId="5" borderId="0" xfId="15" applyNumberFormat="1" applyFont="1" applyFill="1" applyBorder="1" applyAlignment="1" applyProtection="1">
      <alignment horizontal="center"/>
      <protection locked="0"/>
    </xf>
    <xf numFmtId="169" fontId="24" fillId="5" borderId="0" xfId="0" applyNumberFormat="1" applyFont="1" applyFill="1" applyBorder="1" applyAlignment="1" applyProtection="1">
      <alignment horizontal="center"/>
      <protection locked="0"/>
    </xf>
    <xf numFmtId="164" fontId="24" fillId="5" borderId="0" xfId="0" applyFont="1" applyFill="1" applyAlignment="1" applyProtection="1">
      <alignment/>
      <protection locked="0"/>
    </xf>
    <xf numFmtId="164" fontId="24" fillId="5" borderId="0" xfId="0" applyFont="1" applyFill="1" applyAlignment="1" applyProtection="1">
      <alignment/>
      <protection locked="0"/>
    </xf>
    <xf numFmtId="164" fontId="0" fillId="0" borderId="23" xfId="0" applyBorder="1" applyAlignment="1" applyProtection="1">
      <alignment/>
      <protection locked="0"/>
    </xf>
    <xf numFmtId="169" fontId="24" fillId="5" borderId="0" xfId="0" applyNumberFormat="1" applyFont="1" applyFill="1" applyBorder="1" applyAlignment="1" applyProtection="1">
      <alignment horizontal="left"/>
      <protection locked="0"/>
    </xf>
    <xf numFmtId="164" fontId="24" fillId="5" borderId="0" xfId="0" applyFont="1" applyFill="1" applyBorder="1" applyAlignment="1" applyProtection="1">
      <alignment horizontal="left"/>
      <protection locked="0"/>
    </xf>
    <xf numFmtId="164" fontId="24" fillId="5" borderId="0" xfId="0" applyFont="1" applyFill="1" applyBorder="1" applyAlignment="1" applyProtection="1">
      <alignment/>
      <protection locked="0"/>
    </xf>
    <xf numFmtId="169" fontId="40" fillId="5" borderId="0" xfId="15" applyNumberFormat="1" applyFont="1" applyFill="1" applyBorder="1" applyAlignment="1" applyProtection="1">
      <alignment horizontal="center"/>
      <protection locked="0"/>
    </xf>
    <xf numFmtId="164" fontId="0" fillId="5" borderId="0" xfId="0" applyFill="1" applyBorder="1" applyAlignment="1" applyProtection="1">
      <alignment horizontal="left"/>
      <protection locked="0"/>
    </xf>
    <xf numFmtId="164" fontId="31" fillId="5" borderId="13" xfId="0" applyFont="1" applyFill="1" applyBorder="1" applyAlignment="1" applyProtection="1">
      <alignment/>
      <protection locked="0"/>
    </xf>
    <xf numFmtId="164" fontId="31" fillId="5" borderId="0" xfId="0" applyFont="1" applyFill="1" applyAlignment="1" applyProtection="1">
      <alignment/>
      <protection locked="0"/>
    </xf>
    <xf numFmtId="164" fontId="0" fillId="5" borderId="0" xfId="0" applyFill="1" applyAlignment="1" applyProtection="1">
      <alignment horizontal="left"/>
      <protection locked="0"/>
    </xf>
    <xf numFmtId="175" fontId="24" fillId="5" borderId="0" xfId="19" applyNumberFormat="1" applyFont="1" applyFill="1" applyBorder="1" applyAlignment="1" applyProtection="1">
      <alignment horizontal="center"/>
      <protection locked="0"/>
    </xf>
    <xf numFmtId="171" fontId="24" fillId="5" borderId="0" xfId="19" applyNumberFormat="1" applyFont="1" applyFill="1" applyBorder="1" applyAlignment="1" applyProtection="1">
      <alignment horizontal="center"/>
      <protection locked="0"/>
    </xf>
    <xf numFmtId="164" fontId="0" fillId="16" borderId="0" xfId="0" applyFill="1" applyAlignment="1" applyProtection="1">
      <alignment/>
      <protection locked="0"/>
    </xf>
    <xf numFmtId="164" fontId="31" fillId="16" borderId="0" xfId="0" applyFont="1" applyFill="1" applyAlignment="1" applyProtection="1">
      <alignment/>
      <protection locked="0"/>
    </xf>
    <xf numFmtId="164" fontId="31" fillId="16" borderId="0" xfId="0" applyFont="1" applyFill="1" applyAlignment="1" applyProtection="1">
      <alignment horizontal="left"/>
      <protection locked="0"/>
    </xf>
    <xf numFmtId="164" fontId="31" fillId="16" borderId="0" xfId="0" applyFont="1" applyFill="1" applyBorder="1" applyAlignment="1" applyProtection="1">
      <alignment horizontal="left"/>
      <protection locked="0"/>
    </xf>
    <xf numFmtId="164" fontId="24" fillId="5" borderId="0" xfId="0" applyFont="1" applyFill="1" applyAlignment="1" applyProtection="1">
      <alignment/>
      <protection locked="0"/>
    </xf>
    <xf numFmtId="164" fontId="25" fillId="5" borderId="0" xfId="0" applyFont="1" applyFill="1" applyBorder="1" applyAlignment="1" applyProtection="1">
      <alignment horizontal="center"/>
      <protection locked="0"/>
    </xf>
    <xf numFmtId="164" fontId="25" fillId="5" borderId="0" xfId="0" applyFont="1" applyFill="1" applyAlignment="1" applyProtection="1">
      <alignment/>
      <protection locked="0"/>
    </xf>
    <xf numFmtId="164" fontId="31" fillId="5" borderId="0" xfId="0" applyFont="1" applyFill="1" applyBorder="1" applyAlignment="1" applyProtection="1">
      <alignment horizontal="center"/>
      <protection locked="0"/>
    </xf>
    <xf numFmtId="164" fontId="24" fillId="5" borderId="0" xfId="0" applyFont="1" applyFill="1" applyBorder="1" applyAlignment="1" applyProtection="1">
      <alignment/>
      <protection locked="0"/>
    </xf>
    <xf numFmtId="164" fontId="24" fillId="19" borderId="37" xfId="0" applyFont="1" applyFill="1" applyBorder="1" applyAlignment="1" applyProtection="1">
      <alignment/>
      <protection locked="0"/>
    </xf>
    <xf numFmtId="164" fontId="24" fillId="19" borderId="12" xfId="0" applyFont="1" applyFill="1" applyBorder="1" applyAlignment="1" applyProtection="1">
      <alignment/>
      <protection locked="0"/>
    </xf>
    <xf numFmtId="164" fontId="24" fillId="19" borderId="13" xfId="0" applyFont="1" applyFill="1" applyBorder="1" applyAlignment="1" applyProtection="1">
      <alignment/>
      <protection locked="0"/>
    </xf>
    <xf numFmtId="164" fontId="24" fillId="16" borderId="0" xfId="0" applyFont="1" applyFill="1" applyBorder="1" applyAlignment="1" applyProtection="1">
      <alignment horizontal="left"/>
      <protection locked="0"/>
    </xf>
    <xf numFmtId="169" fontId="24" fillId="16" borderId="36" xfId="0" applyNumberFormat="1" applyFont="1" applyFill="1" applyBorder="1" applyAlignment="1" applyProtection="1">
      <alignment horizontal="center"/>
      <protection locked="0"/>
    </xf>
    <xf numFmtId="175" fontId="24" fillId="0" borderId="36" xfId="19" applyNumberFormat="1" applyFont="1" applyFill="1" applyBorder="1" applyAlignment="1" applyProtection="1">
      <alignment horizontal="right" indent="2"/>
      <protection locked="0"/>
    </xf>
    <xf numFmtId="169" fontId="40" fillId="16" borderId="37" xfId="15" applyNumberFormat="1" applyFont="1" applyFill="1" applyBorder="1" applyAlignment="1" applyProtection="1">
      <alignment horizontal="center"/>
      <protection locked="0"/>
    </xf>
    <xf numFmtId="169" fontId="40" fillId="16" borderId="13" xfId="15" applyNumberFormat="1" applyFont="1" applyFill="1" applyBorder="1" applyAlignment="1" applyProtection="1">
      <alignment horizontal="center"/>
      <protection locked="0"/>
    </xf>
    <xf numFmtId="169" fontId="40" fillId="16" borderId="24" xfId="15" applyNumberFormat="1" applyFont="1" applyFill="1" applyBorder="1" applyAlignment="1" applyProtection="1">
      <alignment horizontal="center"/>
      <protection locked="0"/>
    </xf>
    <xf numFmtId="169" fontId="40" fillId="16" borderId="25" xfId="15" applyNumberFormat="1" applyFont="1" applyFill="1" applyBorder="1" applyAlignment="1" applyProtection="1">
      <alignment horizontal="center"/>
      <protection locked="0"/>
    </xf>
    <xf numFmtId="169" fontId="40" fillId="16" borderId="0" xfId="15" applyNumberFormat="1" applyFont="1" applyFill="1" applyBorder="1" applyAlignment="1" applyProtection="1">
      <alignment horizontal="center"/>
      <protection locked="0"/>
    </xf>
    <xf numFmtId="169" fontId="40" fillId="16" borderId="34" xfId="15" applyNumberFormat="1" applyFont="1" applyFill="1" applyBorder="1" applyAlignment="1" applyProtection="1">
      <alignment horizontal="center"/>
      <protection locked="0"/>
    </xf>
    <xf numFmtId="169" fontId="40" fillId="16" borderId="26" xfId="15" applyNumberFormat="1" applyFont="1" applyFill="1" applyBorder="1" applyAlignment="1" applyProtection="1">
      <alignment horizontal="center"/>
      <protection locked="0"/>
    </xf>
    <xf numFmtId="169" fontId="40" fillId="16" borderId="28" xfId="15" applyNumberFormat="1" applyFont="1" applyFill="1" applyBorder="1" applyAlignment="1" applyProtection="1">
      <alignment horizontal="center"/>
      <protection locked="0"/>
    </xf>
    <xf numFmtId="169" fontId="40" fillId="16" borderId="27" xfId="15" applyNumberFormat="1" applyFont="1" applyFill="1" applyBorder="1" applyAlignment="1" applyProtection="1">
      <alignment horizontal="center"/>
      <protection locked="0"/>
    </xf>
    <xf numFmtId="169" fontId="22" fillId="5" borderId="0" xfId="15" applyNumberFormat="1" applyFont="1" applyFill="1" applyBorder="1" applyAlignment="1" applyProtection="1">
      <alignment horizontal="center"/>
      <protection locked="0"/>
    </xf>
    <xf numFmtId="169" fontId="22" fillId="5" borderId="34" xfId="15" applyNumberFormat="1" applyFont="1" applyFill="1" applyBorder="1" applyAlignment="1" applyProtection="1">
      <alignment horizontal="center"/>
      <protection locked="0"/>
    </xf>
    <xf numFmtId="164" fontId="24" fillId="16" borderId="0" xfId="0" applyFont="1" applyFill="1" applyBorder="1" applyAlignment="1" applyProtection="1">
      <alignment/>
      <protection locked="0"/>
    </xf>
    <xf numFmtId="164" fontId="24" fillId="5" borderId="0" xfId="0" applyFont="1" applyFill="1" applyBorder="1" applyAlignment="1" applyProtection="1">
      <alignment horizontal="center"/>
      <protection locked="0"/>
    </xf>
    <xf numFmtId="164" fontId="24" fillId="5" borderId="34" xfId="0" applyFont="1" applyFill="1" applyBorder="1" applyAlignment="1" applyProtection="1">
      <alignment horizontal="center"/>
      <protection locked="0"/>
    </xf>
    <xf numFmtId="164" fontId="24" fillId="19" borderId="0" xfId="0" applyFont="1" applyFill="1" applyBorder="1" applyAlignment="1" applyProtection="1">
      <alignment/>
      <protection locked="0"/>
    </xf>
    <xf numFmtId="164" fontId="24" fillId="19" borderId="34" xfId="0" applyFont="1" applyFill="1" applyBorder="1" applyAlignment="1" applyProtection="1">
      <alignment/>
      <protection locked="0"/>
    </xf>
    <xf numFmtId="164" fontId="24" fillId="0" borderId="0" xfId="0" applyFont="1" applyFill="1" applyAlignment="1" applyProtection="1">
      <alignment/>
      <protection locked="0"/>
    </xf>
    <xf numFmtId="169" fontId="24" fillId="16" borderId="37" xfId="0" applyNumberFormat="1" applyFont="1" applyFill="1" applyBorder="1" applyAlignment="1" applyProtection="1">
      <alignment horizontal="center"/>
      <protection locked="0"/>
    </xf>
    <xf numFmtId="169" fontId="24" fillId="16" borderId="13" xfId="0" applyNumberFormat="1" applyFont="1" applyFill="1" applyBorder="1" applyAlignment="1" applyProtection="1">
      <alignment horizontal="center"/>
      <protection locked="0"/>
    </xf>
    <xf numFmtId="175" fontId="24" fillId="16" borderId="36" xfId="19" applyNumberFormat="1" applyFont="1" applyFill="1" applyBorder="1" applyAlignment="1" applyProtection="1">
      <alignment horizontal="right" indent="2" readingOrder="2"/>
      <protection locked="0"/>
    </xf>
    <xf numFmtId="169" fontId="24" fillId="16" borderId="24" xfId="0" applyNumberFormat="1" applyFont="1" applyFill="1" applyBorder="1" applyAlignment="1" applyProtection="1">
      <alignment horizontal="center"/>
      <protection locked="0"/>
    </xf>
    <xf numFmtId="169" fontId="24" fillId="16" borderId="25" xfId="0" applyNumberFormat="1" applyFont="1" applyFill="1" applyBorder="1" applyAlignment="1" applyProtection="1">
      <alignment horizontal="center"/>
      <protection locked="0"/>
    </xf>
    <xf numFmtId="169" fontId="31" fillId="5" borderId="25" xfId="15" applyNumberFormat="1" applyFont="1" applyFill="1" applyBorder="1" applyAlignment="1" applyProtection="1">
      <alignment horizontal="center"/>
      <protection locked="0"/>
    </xf>
    <xf numFmtId="169" fontId="24" fillId="5" borderId="34" xfId="0" applyNumberFormat="1" applyFont="1" applyFill="1" applyBorder="1" applyAlignment="1" applyProtection="1">
      <alignment horizontal="center"/>
      <protection locked="0"/>
    </xf>
    <xf numFmtId="169" fontId="31" fillId="5" borderId="34" xfId="15" applyNumberFormat="1" applyFont="1" applyFill="1" applyBorder="1" applyAlignment="1" applyProtection="1">
      <alignment horizontal="center"/>
      <protection locked="0"/>
    </xf>
    <xf numFmtId="164" fontId="31" fillId="16" borderId="13" xfId="0" applyFont="1" applyFill="1" applyBorder="1" applyAlignment="1" applyProtection="1">
      <alignment horizontal="center"/>
      <protection locked="0"/>
    </xf>
    <xf numFmtId="171" fontId="31" fillId="16" borderId="36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 locked="0"/>
    </xf>
    <xf numFmtId="171" fontId="24" fillId="16" borderId="36" xfId="0" applyNumberFormat="1" applyFont="1" applyFill="1" applyBorder="1" applyAlignment="1" applyProtection="1">
      <alignment horizontal="center"/>
      <protection locked="0"/>
    </xf>
    <xf numFmtId="171" fontId="24" fillId="5" borderId="0" xfId="0" applyNumberFormat="1" applyFont="1" applyFill="1" applyBorder="1" applyAlignment="1" applyProtection="1">
      <alignment horizontal="center"/>
      <protection locked="0"/>
    </xf>
    <xf numFmtId="175" fontId="31" fillId="16" borderId="36" xfId="0" applyNumberFormat="1" applyFont="1" applyFill="1" applyBorder="1" applyAlignment="1" applyProtection="1">
      <alignment horizontal="right" indent="2" readingOrder="2"/>
      <protection locked="0"/>
    </xf>
    <xf numFmtId="169" fontId="31" fillId="16" borderId="13" xfId="0" applyNumberFormat="1" applyFont="1" applyFill="1" applyBorder="1" applyAlignment="1" applyProtection="1">
      <alignment horizontal="center"/>
      <protection locked="0"/>
    </xf>
    <xf numFmtId="164" fontId="31" fillId="0" borderId="0" xfId="0" applyFont="1" applyFill="1" applyAlignment="1" applyProtection="1">
      <alignment/>
      <protection locked="0"/>
    </xf>
    <xf numFmtId="164" fontId="31" fillId="0" borderId="0" xfId="0" applyFont="1" applyFill="1" applyAlignment="1" applyProtection="1">
      <alignment horizontal="center"/>
      <protection locked="0"/>
    </xf>
    <xf numFmtId="164" fontId="24" fillId="16" borderId="0" xfId="0" applyFont="1" applyFill="1" applyBorder="1" applyAlignment="1" applyProtection="1">
      <alignment/>
      <protection locked="0"/>
    </xf>
    <xf numFmtId="169" fontId="24" fillId="16" borderId="0" xfId="0" applyNumberFormat="1" applyFont="1" applyFill="1" applyBorder="1" applyAlignment="1" applyProtection="1">
      <alignment horizontal="center"/>
      <protection locked="0"/>
    </xf>
    <xf numFmtId="164" fontId="0" fillId="5" borderId="38" xfId="0" applyFill="1" applyBorder="1" applyAlignment="1" applyProtection="1">
      <alignment/>
      <protection locked="0"/>
    </xf>
    <xf numFmtId="164" fontId="0" fillId="5" borderId="39" xfId="0" applyFill="1" applyBorder="1" applyAlignment="1" applyProtection="1">
      <alignment/>
      <protection locked="0"/>
    </xf>
    <xf numFmtId="164" fontId="0" fillId="5" borderId="40" xfId="0" applyFill="1" applyBorder="1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41" fillId="18" borderId="26" xfId="0" applyNumberFormat="1" applyFont="1" applyFill="1" applyBorder="1" applyAlignment="1" applyProtection="1">
      <alignment horizontal="center" vertical="center"/>
      <protection locked="0"/>
    </xf>
    <xf numFmtId="170" fontId="19" fillId="18" borderId="27" xfId="0" applyNumberFormat="1" applyFont="1" applyFill="1" applyBorder="1" applyAlignment="1" applyProtection="1">
      <alignment horizontal="left" vertical="center"/>
      <protection locked="0"/>
    </xf>
    <xf numFmtId="164" fontId="32" fillId="18" borderId="27" xfId="0" applyFont="1" applyFill="1" applyBorder="1" applyAlignment="1" applyProtection="1">
      <alignment horizontal="center" vertical="center"/>
      <protection locked="0"/>
    </xf>
    <xf numFmtId="171" fontId="32" fillId="18" borderId="27" xfId="0" applyNumberFormat="1" applyFont="1" applyFill="1" applyBorder="1" applyAlignment="1" applyProtection="1">
      <alignment horizontal="center" vertical="center"/>
      <protection locked="0"/>
    </xf>
    <xf numFmtId="164" fontId="32" fillId="18" borderId="27" xfId="0" applyFont="1" applyFill="1" applyBorder="1" applyAlignment="1" applyProtection="1">
      <alignment horizontal="left" vertical="center"/>
      <protection locked="0"/>
    </xf>
    <xf numFmtId="164" fontId="32" fillId="18" borderId="27" xfId="0" applyFont="1" applyFill="1" applyBorder="1" applyAlignment="1" applyProtection="1">
      <alignment vertical="center"/>
      <protection locked="0"/>
    </xf>
    <xf numFmtId="169" fontId="32" fillId="18" borderId="27" xfId="0" applyNumberFormat="1" applyFont="1" applyFill="1" applyBorder="1" applyAlignment="1" applyProtection="1">
      <alignment horizontal="center" vertical="center"/>
      <protection locked="0"/>
    </xf>
    <xf numFmtId="164" fontId="19" fillId="18" borderId="27" xfId="0" applyFont="1" applyFill="1" applyBorder="1" applyAlignment="1" applyProtection="1">
      <alignment horizontal="left" vertical="center"/>
      <protection locked="0"/>
    </xf>
    <xf numFmtId="164" fontId="24" fillId="18" borderId="28" xfId="0" applyFont="1" applyFill="1" applyBorder="1" applyAlignment="1" applyProtection="1">
      <alignment/>
      <protection locked="0"/>
    </xf>
    <xf numFmtId="167" fontId="24" fillId="18" borderId="23" xfId="0" applyNumberFormat="1" applyFont="1" applyFill="1" applyBorder="1" applyAlignment="1" applyProtection="1">
      <alignment horizontal="center"/>
      <protection locked="0"/>
    </xf>
    <xf numFmtId="164" fontId="24" fillId="5" borderId="41" xfId="0" applyNumberFormat="1" applyFont="1" applyFill="1" applyBorder="1" applyAlignment="1" applyProtection="1">
      <alignment/>
      <protection locked="0"/>
    </xf>
    <xf numFmtId="164" fontId="24" fillId="16" borderId="42" xfId="0" applyNumberFormat="1" applyFont="1" applyFill="1" applyBorder="1" applyAlignment="1" applyProtection="1">
      <alignment/>
      <protection locked="0"/>
    </xf>
    <xf numFmtId="171" fontId="24" fillId="5" borderId="42" xfId="0" applyNumberFormat="1" applyFont="1" applyFill="1" applyBorder="1" applyAlignment="1" applyProtection="1">
      <alignment horizontal="center"/>
      <protection locked="0"/>
    </xf>
    <xf numFmtId="169" fontId="24" fillId="16" borderId="42" xfId="0" applyNumberFormat="1" applyFont="1" applyFill="1" applyBorder="1" applyAlignment="1" applyProtection="1">
      <alignment horizontal="center"/>
      <protection locked="0"/>
    </xf>
    <xf numFmtId="164" fontId="31" fillId="5" borderId="42" xfId="0" applyFont="1" applyFill="1" applyBorder="1" applyAlignment="1" applyProtection="1">
      <alignment horizontal="center"/>
      <protection locked="0"/>
    </xf>
    <xf numFmtId="164" fontId="24" fillId="16" borderId="42" xfId="0" applyNumberFormat="1" applyFont="1" applyFill="1" applyBorder="1" applyAlignment="1" applyProtection="1">
      <alignment horizontal="center"/>
      <protection locked="0"/>
    </xf>
    <xf numFmtId="164" fontId="24" fillId="5" borderId="42" xfId="0" applyFont="1" applyFill="1" applyBorder="1" applyAlignment="1" applyProtection="1">
      <alignment horizontal="left"/>
      <protection locked="0"/>
    </xf>
    <xf numFmtId="164" fontId="24" fillId="5" borderId="42" xfId="0" applyFont="1" applyFill="1" applyBorder="1" applyAlignment="1" applyProtection="1">
      <alignment/>
      <protection locked="0"/>
    </xf>
    <xf numFmtId="171" fontId="24" fillId="16" borderId="43" xfId="0" applyNumberFormat="1" applyFont="1" applyFill="1" applyBorder="1" applyAlignment="1" applyProtection="1">
      <alignment horizontal="center"/>
      <protection locked="0"/>
    </xf>
    <xf numFmtId="164" fontId="24" fillId="18" borderId="34" xfId="0" applyFont="1" applyFill="1" applyBorder="1" applyAlignment="1" applyProtection="1">
      <alignment/>
      <protection locked="0"/>
    </xf>
    <xf numFmtId="164" fontId="0" fillId="5" borderId="42" xfId="0" applyFill="1" applyBorder="1" applyAlignment="1" applyProtection="1">
      <alignment horizontal="left"/>
      <protection locked="0"/>
    </xf>
    <xf numFmtId="164" fontId="0" fillId="5" borderId="42" xfId="0" applyFill="1" applyBorder="1" applyAlignment="1" applyProtection="1">
      <alignment/>
      <protection locked="0"/>
    </xf>
    <xf numFmtId="164" fontId="0" fillId="18" borderId="34" xfId="0" applyFill="1" applyBorder="1" applyAlignment="1" applyProtection="1">
      <alignment/>
      <protection locked="0"/>
    </xf>
    <xf numFmtId="164" fontId="24" fillId="18" borderId="34" xfId="0" applyFont="1" applyFill="1" applyBorder="1" applyAlignment="1" applyProtection="1">
      <alignment horizontal="left"/>
      <protection locked="0"/>
    </xf>
    <xf numFmtId="164" fontId="31" fillId="5" borderId="42" xfId="0" applyFont="1" applyFill="1" applyBorder="1" applyAlignment="1" applyProtection="1">
      <alignment horizontal="left"/>
      <protection locked="0"/>
    </xf>
    <xf numFmtId="164" fontId="0" fillId="18" borderId="34" xfId="0" applyFill="1" applyBorder="1" applyAlignment="1" applyProtection="1">
      <alignment horizontal="left"/>
      <protection locked="0"/>
    </xf>
    <xf numFmtId="164" fontId="0" fillId="18" borderId="24" xfId="0" applyFill="1" applyBorder="1" applyAlignment="1" applyProtection="1">
      <alignment/>
      <protection locked="0"/>
    </xf>
    <xf numFmtId="164" fontId="0" fillId="18" borderId="10" xfId="0" applyFill="1" applyBorder="1" applyAlignment="1" applyProtection="1">
      <alignment/>
      <protection locked="0"/>
    </xf>
    <xf numFmtId="169" fontId="0" fillId="18" borderId="10" xfId="0" applyNumberFormat="1" applyFill="1" applyBorder="1" applyAlignment="1" applyProtection="1">
      <alignment horizontal="center"/>
      <protection locked="0"/>
    </xf>
    <xf numFmtId="164" fontId="0" fillId="18" borderId="25" xfId="0" applyFill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 locked="0"/>
    </xf>
    <xf numFmtId="164" fontId="0" fillId="16" borderId="27" xfId="0" applyFill="1" applyBorder="1" applyAlignment="1" applyProtection="1">
      <alignment/>
      <protection locked="0"/>
    </xf>
    <xf numFmtId="169" fontId="36" fillId="16" borderId="44" xfId="0" applyNumberFormat="1" applyFont="1" applyFill="1" applyBorder="1" applyAlignment="1" applyProtection="1">
      <alignment horizontal="right"/>
      <protection locked="0"/>
    </xf>
    <xf numFmtId="164" fontId="31" fillId="16" borderId="44" xfId="0" applyFont="1" applyFill="1" applyBorder="1" applyAlignment="1" applyProtection="1">
      <alignment horizontal="left"/>
      <protection locked="0"/>
    </xf>
    <xf numFmtId="164" fontId="31" fillId="16" borderId="44" xfId="0" applyFont="1" applyFill="1" applyBorder="1" applyAlignment="1" applyProtection="1">
      <alignment/>
      <protection locked="0"/>
    </xf>
    <xf numFmtId="169" fontId="36" fillId="16" borderId="44" xfId="0" applyNumberFormat="1" applyFont="1" applyFill="1" applyBorder="1" applyAlignment="1" applyProtection="1">
      <alignment horizontal="center"/>
      <protection locked="0"/>
    </xf>
    <xf numFmtId="164" fontId="31" fillId="16" borderId="44" xfId="0" applyNumberFormat="1" applyFont="1" applyFill="1" applyBorder="1" applyAlignment="1" applyProtection="1">
      <alignment horizontal="center"/>
      <protection locked="0"/>
    </xf>
    <xf numFmtId="164" fontId="0" fillId="16" borderId="28" xfId="0" applyFill="1" applyBorder="1" applyAlignment="1" applyProtection="1">
      <alignment/>
      <protection locked="0"/>
    </xf>
    <xf numFmtId="164" fontId="0" fillId="16" borderId="23" xfId="0" applyFill="1" applyBorder="1" applyAlignment="1" applyProtection="1">
      <alignment/>
      <protection locked="0"/>
    </xf>
    <xf numFmtId="164" fontId="0" fillId="16" borderId="0" xfId="0" applyFill="1" applyBorder="1" applyAlignment="1" applyProtection="1">
      <alignment/>
      <protection locked="0"/>
    </xf>
    <xf numFmtId="169" fontId="31" fillId="16" borderId="0" xfId="0" applyNumberFormat="1" applyFont="1" applyFill="1" applyBorder="1" applyAlignment="1" applyProtection="1">
      <alignment horizontal="right"/>
      <protection locked="0"/>
    </xf>
    <xf numFmtId="164" fontId="31" fillId="16" borderId="0" xfId="0" applyFont="1" applyFill="1" applyBorder="1" applyAlignment="1" applyProtection="1">
      <alignment/>
      <protection locked="0"/>
    </xf>
    <xf numFmtId="169" fontId="31" fillId="16" borderId="0" xfId="0" applyNumberFormat="1" applyFont="1" applyFill="1" applyBorder="1" applyAlignment="1" applyProtection="1">
      <alignment horizontal="center"/>
      <protection locked="0"/>
    </xf>
    <xf numFmtId="164" fontId="0" fillId="16" borderId="34" xfId="0" applyFill="1" applyBorder="1" applyAlignment="1" applyProtection="1">
      <alignment/>
      <protection locked="0"/>
    </xf>
    <xf numFmtId="164" fontId="31" fillId="16" borderId="0" xfId="0" applyFont="1" applyFill="1" applyBorder="1" applyAlignment="1" applyProtection="1">
      <alignment horizontal="right"/>
      <protection locked="0"/>
    </xf>
    <xf numFmtId="169" fontId="36" fillId="16" borderId="0" xfId="0" applyNumberFormat="1" applyFont="1" applyFill="1" applyBorder="1" applyAlignment="1" applyProtection="1">
      <alignment horizontal="center"/>
      <protection locked="0"/>
    </xf>
    <xf numFmtId="164" fontId="31" fillId="0" borderId="0" xfId="0" applyFont="1" applyBorder="1" applyAlignment="1" applyProtection="1">
      <alignment horizontal="center"/>
      <protection locked="0"/>
    </xf>
    <xf numFmtId="164" fontId="31" fillId="0" borderId="0" xfId="0" applyFont="1" applyBorder="1" applyAlignment="1" applyProtection="1">
      <alignment/>
      <protection locked="0"/>
    </xf>
    <xf numFmtId="169" fontId="31" fillId="0" borderId="36" xfId="0" applyNumberFormat="1" applyFont="1" applyBorder="1" applyAlignment="1" applyProtection="1">
      <alignment horizontal="center"/>
      <protection locked="0"/>
    </xf>
    <xf numFmtId="169" fontId="31" fillId="0" borderId="45" xfId="0" applyNumberFormat="1" applyFont="1" applyBorder="1" applyAlignment="1" applyProtection="1">
      <alignment horizontal="center"/>
      <protection locked="0"/>
    </xf>
    <xf numFmtId="169" fontId="31" fillId="0" borderId="0" xfId="0" applyNumberFormat="1" applyFont="1" applyBorder="1" applyAlignment="1" applyProtection="1">
      <alignment horizontal="center"/>
      <protection locked="0"/>
    </xf>
    <xf numFmtId="169" fontId="42" fillId="0" borderId="36" xfId="0" applyNumberFormat="1" applyFont="1" applyBorder="1" applyAlignment="1" applyProtection="1">
      <alignment horizontal="center"/>
      <protection locked="0"/>
    </xf>
    <xf numFmtId="164" fontId="0" fillId="0" borderId="34" xfId="0" applyBorder="1" applyAlignment="1" applyProtection="1">
      <alignment/>
      <protection locked="0"/>
    </xf>
    <xf numFmtId="176" fontId="42" fillId="0" borderId="36" xfId="0" applyNumberFormat="1" applyFont="1" applyBorder="1" applyAlignment="1" applyProtection="1">
      <alignment horizontal="center"/>
      <protection locked="0"/>
    </xf>
    <xf numFmtId="164" fontId="31" fillId="16" borderId="34" xfId="0" applyFont="1" applyFill="1" applyBorder="1" applyAlignment="1" applyProtection="1">
      <alignment/>
      <protection locked="0"/>
    </xf>
    <xf numFmtId="164" fontId="31" fillId="0" borderId="36" xfId="0" applyFont="1" applyBorder="1" applyAlignment="1" applyProtection="1">
      <alignment horizontal="center"/>
      <protection locked="0"/>
    </xf>
    <xf numFmtId="177" fontId="22" fillId="16" borderId="36" xfId="0" applyNumberFormat="1" applyFont="1" applyFill="1" applyBorder="1" applyAlignment="1" applyProtection="1">
      <alignment horizontal="center"/>
      <protection locked="0"/>
    </xf>
    <xf numFmtId="178" fontId="0" fillId="16" borderId="0" xfId="0" applyNumberFormat="1" applyFill="1" applyBorder="1" applyAlignment="1" applyProtection="1">
      <alignment/>
      <protection locked="0"/>
    </xf>
    <xf numFmtId="164" fontId="42" fillId="0" borderId="36" xfId="0" applyFont="1" applyBorder="1" applyAlignment="1" applyProtection="1">
      <alignment horizontal="center"/>
      <protection locked="0"/>
    </xf>
    <xf numFmtId="171" fontId="31" fillId="0" borderId="36" xfId="0" applyNumberFormat="1" applyFont="1" applyBorder="1" applyAlignment="1" applyProtection="1">
      <alignment horizontal="center"/>
      <protection locked="0"/>
    </xf>
    <xf numFmtId="164" fontId="0" fillId="16" borderId="46" xfId="0" applyFill="1" applyBorder="1" applyAlignment="1" applyProtection="1">
      <alignment/>
      <protection locked="0"/>
    </xf>
    <xf numFmtId="164" fontId="31" fillId="16" borderId="47" xfId="0" applyFont="1" applyFill="1" applyBorder="1" applyAlignment="1" applyProtection="1">
      <alignment/>
      <protection locked="0"/>
    </xf>
    <xf numFmtId="164" fontId="0" fillId="16" borderId="47" xfId="0" applyFill="1" applyBorder="1" applyAlignment="1" applyProtection="1">
      <alignment/>
      <protection locked="0"/>
    </xf>
    <xf numFmtId="164" fontId="0" fillId="16" borderId="48" xfId="0" applyFill="1" applyBorder="1" applyAlignment="1" applyProtection="1">
      <alignment/>
      <protection locked="0"/>
    </xf>
    <xf numFmtId="169" fontId="31" fillId="0" borderId="36" xfId="0" applyNumberFormat="1" applyFont="1" applyBorder="1" applyAlignment="1" applyProtection="1">
      <alignment/>
      <protection locked="0"/>
    </xf>
    <xf numFmtId="164" fontId="31" fillId="0" borderId="0" xfId="0" applyNumberFormat="1" applyFont="1" applyBorder="1" applyAlignment="1" applyProtection="1">
      <alignment horizontal="left"/>
      <protection locked="0"/>
    </xf>
    <xf numFmtId="164" fontId="31" fillId="0" borderId="0" xfId="0" applyFont="1" applyFill="1" applyBorder="1" applyAlignment="1" applyProtection="1">
      <alignment/>
      <protection locked="0"/>
    </xf>
    <xf numFmtId="171" fontId="31" fillId="0" borderId="36" xfId="0" applyNumberFormat="1" applyFont="1" applyBorder="1" applyAlignment="1" applyProtection="1">
      <alignment/>
      <protection locked="0"/>
    </xf>
    <xf numFmtId="164" fontId="0" fillId="0" borderId="46" xfId="0" applyBorder="1" applyAlignment="1" applyProtection="1">
      <alignment/>
      <protection locked="0"/>
    </xf>
    <xf numFmtId="164" fontId="31" fillId="0" borderId="47" xfId="0" applyFont="1" applyBorder="1" applyAlignment="1" applyProtection="1">
      <alignment/>
      <protection locked="0"/>
    </xf>
    <xf numFmtId="164" fontId="0" fillId="0" borderId="47" xfId="0" applyBorder="1" applyAlignment="1" applyProtection="1">
      <alignment/>
      <protection locked="0"/>
    </xf>
    <xf numFmtId="164" fontId="0" fillId="0" borderId="48" xfId="0" applyBorder="1" applyAlignment="1" applyProtection="1">
      <alignment/>
      <protection locked="0"/>
    </xf>
    <xf numFmtId="164" fontId="0" fillId="0" borderId="49" xfId="0" applyBorder="1" applyAlignment="1" applyProtection="1">
      <alignment vertical="top" wrapText="1"/>
      <protection locked="0"/>
    </xf>
    <xf numFmtId="164" fontId="31" fillId="0" borderId="50" xfId="0" applyFont="1" applyBorder="1" applyAlignment="1" applyProtection="1">
      <alignment vertical="top"/>
      <protection locked="0"/>
    </xf>
    <xf numFmtId="164" fontId="0" fillId="0" borderId="50" xfId="0" applyFont="1" applyBorder="1" applyAlignment="1" applyProtection="1">
      <alignment vertical="top" wrapText="1"/>
      <protection locked="0"/>
    </xf>
    <xf numFmtId="164" fontId="0" fillId="0" borderId="51" xfId="0" applyBorder="1" applyAlignment="1" applyProtection="1">
      <alignment vertical="top" wrapText="1"/>
      <protection locked="0"/>
    </xf>
    <xf numFmtId="164" fontId="0" fillId="0" borderId="23" xfId="0" applyBorder="1" applyAlignment="1" applyProtection="1">
      <alignment vertical="top" wrapText="1"/>
      <protection locked="0"/>
    </xf>
    <xf numFmtId="164" fontId="43" fillId="0" borderId="0" xfId="0" applyFont="1" applyBorder="1" applyAlignment="1" applyProtection="1">
      <alignment horizontal="left" vertical="top" wrapText="1"/>
      <protection locked="0"/>
    </xf>
    <xf numFmtId="164" fontId="0" fillId="0" borderId="34" xfId="0" applyBorder="1" applyAlignment="1" applyProtection="1">
      <alignment vertical="top" wrapText="1"/>
      <protection locked="0"/>
    </xf>
    <xf numFmtId="164" fontId="31" fillId="0" borderId="0" xfId="0" applyFont="1" applyBorder="1" applyAlignment="1" applyProtection="1">
      <alignment vertical="top"/>
      <protection locked="0"/>
    </xf>
    <xf numFmtId="164" fontId="0" fillId="0" borderId="0" xfId="0" applyFont="1" applyBorder="1" applyAlignment="1" applyProtection="1">
      <alignment vertical="top" wrapText="1"/>
      <protection locked="0"/>
    </xf>
    <xf numFmtId="164" fontId="44" fillId="0" borderId="0" xfId="0" applyFont="1" applyBorder="1" applyAlignment="1" applyProtection="1">
      <alignment horizontal="left" vertical="top" wrapText="1"/>
      <protection locked="0"/>
    </xf>
    <xf numFmtId="164" fontId="45" fillId="0" borderId="0" xfId="0" applyFont="1" applyBorder="1" applyAlignment="1" applyProtection="1">
      <alignment horizontal="left" vertical="top" wrapText="1"/>
      <protection locked="0"/>
    </xf>
    <xf numFmtId="164" fontId="0" fillId="0" borderId="34" xfId="0" applyFont="1" applyBorder="1" applyAlignment="1" applyProtection="1">
      <alignment vertical="top" wrapText="1"/>
      <protection locked="0"/>
    </xf>
    <xf numFmtId="164" fontId="31" fillId="0" borderId="0" xfId="0" applyFont="1" applyBorder="1" applyAlignment="1" applyProtection="1">
      <alignment horizontal="left" vertical="top"/>
      <protection locked="0"/>
    </xf>
    <xf numFmtId="164" fontId="0" fillId="0" borderId="0" xfId="0" applyBorder="1" applyAlignment="1" applyProtection="1">
      <alignment vertical="top"/>
      <protection locked="0"/>
    </xf>
    <xf numFmtId="164" fontId="0" fillId="0" borderId="0" xfId="0" applyBorder="1" applyAlignment="1" applyProtection="1">
      <alignment vertical="top" wrapText="1"/>
      <protection locked="0"/>
    </xf>
    <xf numFmtId="164" fontId="0" fillId="0" borderId="0" xfId="0" applyBorder="1" applyAlignment="1" applyProtection="1">
      <alignment horizontal="left" vertical="top" wrapText="1"/>
      <protection locked="0"/>
    </xf>
    <xf numFmtId="164" fontId="0" fillId="0" borderId="24" xfId="0" applyBorder="1" applyAlignment="1" applyProtection="1">
      <alignment vertical="top" wrapText="1"/>
      <protection locked="0"/>
    </xf>
    <xf numFmtId="164" fontId="0" fillId="0" borderId="10" xfId="0" applyBorder="1" applyAlignment="1" applyProtection="1">
      <alignment vertical="top" wrapText="1"/>
      <protection locked="0"/>
    </xf>
    <xf numFmtId="164" fontId="0" fillId="0" borderId="25" xfId="0" applyBorder="1" applyAlignment="1" applyProtection="1">
      <alignment vertical="top" wrapText="1"/>
      <protection locked="0"/>
    </xf>
    <xf numFmtId="164" fontId="30" fillId="0" borderId="0" xfId="0" applyFont="1" applyAlignment="1" applyProtection="1">
      <alignment horizontal="center"/>
      <protection locked="0"/>
    </xf>
    <xf numFmtId="164" fontId="46" fillId="0" borderId="0" xfId="0" applyFont="1" applyBorder="1" applyAlignment="1" applyProtection="1">
      <alignment horizontal="center"/>
      <protection locked="0"/>
    </xf>
    <xf numFmtId="164" fontId="47" fillId="0" borderId="0" xfId="0" applyFont="1" applyBorder="1" applyAlignment="1" applyProtection="1">
      <alignment horizontal="center"/>
      <protection locked="0"/>
    </xf>
    <xf numFmtId="165" fontId="17" fillId="16" borderId="0" xfId="17" applyFont="1" applyFill="1" applyBorder="1" applyAlignment="1" applyProtection="1">
      <alignment horizontal="center" vertical="center"/>
      <protection locked="0"/>
    </xf>
    <xf numFmtId="166" fontId="24" fillId="0" borderId="29" xfId="15" applyNumberFormat="1" applyFont="1" applyFill="1" applyBorder="1" applyAlignment="1" applyProtection="1">
      <alignment horizontal="center"/>
      <protection locked="0"/>
    </xf>
    <xf numFmtId="167" fontId="19" fillId="0" borderId="52" xfId="0" applyNumberFormat="1" applyFont="1" applyFill="1" applyBorder="1" applyAlignment="1" applyProtection="1">
      <alignment horizontal="center"/>
      <protection locked="0"/>
    </xf>
    <xf numFmtId="166" fontId="29" fillId="20" borderId="0" xfId="0" applyNumberFormat="1" applyFont="1" applyFill="1" applyAlignment="1" applyProtection="1">
      <alignment horizontal="center"/>
      <protection locked="0"/>
    </xf>
    <xf numFmtId="166" fontId="24" fillId="20" borderId="0" xfId="0" applyNumberFormat="1" applyFont="1" applyFill="1" applyAlignment="1" applyProtection="1">
      <alignment/>
      <protection locked="0"/>
    </xf>
    <xf numFmtId="166" fontId="24" fillId="20" borderId="0" xfId="0" applyNumberFormat="1" applyFont="1" applyFill="1" applyAlignment="1" applyProtection="1">
      <alignment horizontal="center"/>
      <protection locked="0"/>
    </xf>
    <xf numFmtId="166" fontId="29" fillId="20" borderId="0" xfId="0" applyNumberFormat="1" applyFont="1" applyFill="1" applyAlignment="1" applyProtection="1">
      <alignment/>
      <protection locked="0"/>
    </xf>
    <xf numFmtId="166" fontId="29" fillId="20" borderId="0" xfId="0" applyNumberFormat="1" applyFont="1" applyFill="1" applyAlignment="1" applyProtection="1">
      <alignment/>
      <protection locked="0"/>
    </xf>
    <xf numFmtId="166" fontId="29" fillId="20" borderId="0" xfId="17" applyNumberFormat="1" applyFont="1" applyFill="1" applyBorder="1" applyAlignment="1" applyProtection="1">
      <alignment/>
      <protection locked="0"/>
    </xf>
    <xf numFmtId="166" fontId="24" fillId="20" borderId="0" xfId="0" applyNumberFormat="1" applyFont="1" applyFill="1" applyAlignment="1" applyProtection="1">
      <alignment/>
      <protection locked="0"/>
    </xf>
    <xf numFmtId="166" fontId="24" fillId="16" borderId="36" xfId="0" applyNumberFormat="1" applyFont="1" applyFill="1" applyBorder="1" applyAlignment="1" applyProtection="1">
      <alignment/>
      <protection locked="0"/>
    </xf>
    <xf numFmtId="166" fontId="24" fillId="19" borderId="0" xfId="0" applyNumberFormat="1" applyFont="1" applyFill="1" applyBorder="1" applyAlignment="1" applyProtection="1">
      <alignment/>
      <protection locked="0"/>
    </xf>
    <xf numFmtId="164" fontId="24" fillId="16" borderId="36" xfId="0" applyNumberFormat="1" applyFont="1" applyFill="1" applyBorder="1" applyAlignment="1" applyProtection="1">
      <alignment/>
      <protection locked="0"/>
    </xf>
    <xf numFmtId="169" fontId="24" fillId="0" borderId="0" xfId="0" applyNumberFormat="1" applyFont="1" applyFill="1" applyBorder="1" applyAlignment="1" applyProtection="1">
      <alignment horizontal="center"/>
      <protection locked="0"/>
    </xf>
    <xf numFmtId="166" fontId="24" fillId="20" borderId="0" xfId="15" applyNumberFormat="1" applyFont="1" applyFill="1" applyBorder="1" applyAlignment="1" applyProtection="1">
      <alignment horizontal="center"/>
      <protection locked="0"/>
    </xf>
    <xf numFmtId="166" fontId="24" fillId="20" borderId="0" xfId="17" applyNumberFormat="1" applyFont="1" applyFill="1" applyBorder="1" applyAlignment="1" applyProtection="1">
      <alignment horizontal="center"/>
      <protection locked="0"/>
    </xf>
    <xf numFmtId="164" fontId="24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31" fillId="0" borderId="0" xfId="0" applyFont="1" applyAlignment="1" applyProtection="1">
      <alignment/>
      <protection locked="0"/>
    </xf>
    <xf numFmtId="164" fontId="24" fillId="4" borderId="0" xfId="0" applyNumberFormat="1" applyFont="1" applyFill="1" applyAlignment="1" applyProtection="1">
      <alignment horizontal="center"/>
      <protection locked="0"/>
    </xf>
    <xf numFmtId="164" fontId="24" fillId="4" borderId="0" xfId="0" applyNumberFormat="1" applyFont="1" applyFill="1" applyBorder="1" applyAlignment="1" applyProtection="1">
      <alignment horizontal="center"/>
      <protection locked="0"/>
    </xf>
    <xf numFmtId="171" fontId="24" fillId="4" borderId="0" xfId="0" applyNumberFormat="1" applyFont="1" applyFill="1" applyAlignment="1" applyProtection="1">
      <alignment horizontal="center"/>
      <protection locked="0"/>
    </xf>
    <xf numFmtId="164" fontId="24" fillId="4" borderId="0" xfId="0" applyNumberFormat="1" applyFont="1" applyFill="1" applyAlignment="1" applyProtection="1">
      <alignment/>
      <protection locked="0"/>
    </xf>
    <xf numFmtId="164" fontId="24" fillId="4" borderId="0" xfId="0" applyNumberFormat="1" applyFont="1" applyFill="1" applyAlignment="1" applyProtection="1">
      <alignment/>
      <protection locked="0"/>
    </xf>
    <xf numFmtId="164" fontId="24" fillId="0" borderId="0" xfId="0" applyNumberFormat="1" applyFont="1" applyFill="1" applyAlignment="1" applyProtection="1">
      <alignment/>
      <protection locked="0"/>
    </xf>
    <xf numFmtId="164" fontId="24" fillId="0" borderId="37" xfId="0" applyNumberFormat="1" applyFont="1" applyFill="1" applyBorder="1" applyAlignment="1" applyProtection="1">
      <alignment/>
      <protection locked="0"/>
    </xf>
    <xf numFmtId="171" fontId="24" fillId="0" borderId="0" xfId="0" applyNumberFormat="1" applyFont="1" applyFill="1" applyAlignment="1" applyProtection="1">
      <alignment horizontal="center"/>
      <protection locked="0"/>
    </xf>
    <xf numFmtId="164" fontId="24" fillId="0" borderId="0" xfId="0" applyNumberFormat="1" applyFont="1" applyFill="1" applyAlignment="1" applyProtection="1">
      <alignment horizontal="center"/>
      <protection locked="0"/>
    </xf>
    <xf numFmtId="171" fontId="24" fillId="0" borderId="36" xfId="0" applyNumberFormat="1" applyFont="1" applyFill="1" applyBorder="1" applyAlignment="1" applyProtection="1">
      <alignment horizontal="center"/>
      <protection locked="0"/>
    </xf>
    <xf numFmtId="164" fontId="50" fillId="0" borderId="36" xfId="0" applyNumberFormat="1" applyFont="1" applyFill="1" applyBorder="1" applyAlignment="1" applyProtection="1">
      <alignment horizontal="center"/>
      <protection locked="0"/>
    </xf>
    <xf numFmtId="164" fontId="24" fillId="0" borderId="36" xfId="0" applyNumberFormat="1" applyFont="1" applyFill="1" applyBorder="1" applyAlignment="1" applyProtection="1">
      <alignment horizontal="center"/>
      <protection locked="0"/>
    </xf>
    <xf numFmtId="169" fontId="0" fillId="2" borderId="0" xfId="0" applyNumberFormat="1" applyFont="1" applyFill="1" applyAlignment="1" applyProtection="1">
      <alignment horizontal="center"/>
      <protection locked="0"/>
    </xf>
    <xf numFmtId="164" fontId="0" fillId="2" borderId="0" xfId="0" applyFont="1" applyFill="1" applyAlignment="1" applyProtection="1">
      <alignment/>
      <protection locked="0"/>
    </xf>
    <xf numFmtId="164" fontId="31" fillId="2" borderId="0" xfId="0" applyFon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9" fontId="0" fillId="5" borderId="0" xfId="0" applyNumberFormat="1" applyFont="1" applyFill="1" applyAlignment="1" applyProtection="1">
      <alignment horizontal="center"/>
      <protection locked="0"/>
    </xf>
    <xf numFmtId="172" fontId="24" fillId="5" borderId="0" xfId="15" applyNumberFormat="1" applyFont="1" applyFill="1" applyBorder="1" applyAlignment="1" applyProtection="1">
      <alignment horizontal="center"/>
      <protection locked="0"/>
    </xf>
    <xf numFmtId="164" fontId="24" fillId="5" borderId="0" xfId="0" applyFont="1" applyFill="1" applyAlignment="1" applyProtection="1">
      <alignment horizontal="center"/>
      <protection locked="0"/>
    </xf>
    <xf numFmtId="164" fontId="24" fillId="5" borderId="0" xfId="17" applyNumberFormat="1" applyFont="1" applyFill="1" applyBorder="1" applyAlignment="1" applyProtection="1">
      <alignment horizontal="center"/>
      <protection locked="0"/>
    </xf>
    <xf numFmtId="164" fontId="31" fillId="5" borderId="0" xfId="0" applyNumberFormat="1" applyFont="1" applyFill="1" applyAlignment="1" applyProtection="1">
      <alignment horizontal="center"/>
      <protection locked="0"/>
    </xf>
    <xf numFmtId="170" fontId="24" fillId="5" borderId="0" xfId="0" applyNumberFormat="1" applyFont="1" applyFill="1" applyAlignment="1" applyProtection="1">
      <alignment horizontal="center"/>
      <protection locked="0"/>
    </xf>
    <xf numFmtId="164" fontId="39" fillId="21" borderId="0" xfId="0" applyFont="1" applyFill="1" applyBorder="1" applyAlignment="1" applyProtection="1">
      <alignment horizontal="center"/>
      <protection locked="0"/>
    </xf>
    <xf numFmtId="164" fontId="24" fillId="2" borderId="0" xfId="0" applyFont="1" applyFill="1" applyAlignment="1" applyProtection="1">
      <alignment horizontal="left"/>
      <protection locked="0"/>
    </xf>
    <xf numFmtId="169" fontId="31" fillId="0" borderId="0" xfId="15" applyNumberFormat="1" applyFont="1" applyFill="1" applyBorder="1" applyAlignment="1" applyProtection="1">
      <alignment horizontal="center"/>
      <protection locked="0"/>
    </xf>
    <xf numFmtId="169" fontId="31" fillId="5" borderId="0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 horizontal="center"/>
      <protection locked="0"/>
    </xf>
    <xf numFmtId="171" fontId="31" fillId="5" borderId="0" xfId="0" applyNumberFormat="1" applyFont="1" applyFill="1" applyAlignment="1" applyProtection="1">
      <alignment horizontal="center"/>
      <protection locked="0"/>
    </xf>
    <xf numFmtId="173" fontId="51" fillId="5" borderId="35" xfId="0" applyNumberFormat="1" applyFont="1" applyFill="1" applyBorder="1" applyAlignment="1" applyProtection="1">
      <alignment horizontal="center"/>
      <protection locked="0"/>
    </xf>
    <xf numFmtId="176" fontId="0" fillId="0" borderId="36" xfId="0" applyNumberFormat="1" applyBorder="1" applyAlignment="1" applyProtection="1">
      <alignment/>
      <protection locked="0"/>
    </xf>
    <xf numFmtId="164" fontId="24" fillId="2" borderId="0" xfId="0" applyFont="1" applyFill="1" applyAlignment="1" applyProtection="1">
      <alignment/>
      <protection locked="0"/>
    </xf>
    <xf numFmtId="171" fontId="31" fillId="2" borderId="0" xfId="0" applyNumberFormat="1" applyFont="1" applyFill="1" applyAlignment="1" applyProtection="1">
      <alignment horizontal="center"/>
      <protection locked="0"/>
    </xf>
    <xf numFmtId="164" fontId="0" fillId="2" borderId="0" xfId="0" applyFill="1" applyAlignment="1" applyProtection="1">
      <alignment horizontal="center"/>
      <protection locked="0"/>
    </xf>
    <xf numFmtId="176" fontId="31" fillId="0" borderId="0" xfId="0" applyNumberFormat="1" applyFont="1" applyAlignment="1" applyProtection="1">
      <alignment/>
      <protection locked="0"/>
    </xf>
    <xf numFmtId="164" fontId="24" fillId="2" borderId="0" xfId="0" applyFont="1" applyFill="1" applyAlignment="1" applyProtection="1">
      <alignment/>
      <protection locked="0"/>
    </xf>
    <xf numFmtId="169" fontId="40" fillId="0" borderId="0" xfId="15" applyNumberFormat="1" applyFont="1" applyFill="1" applyBorder="1" applyAlignment="1" applyProtection="1">
      <alignment horizontal="center"/>
      <protection locked="0"/>
    </xf>
    <xf numFmtId="169" fontId="24" fillId="2" borderId="0" xfId="15" applyNumberFormat="1" applyFont="1" applyFill="1" applyBorder="1" applyAlignment="1" applyProtection="1">
      <alignment/>
      <protection locked="0"/>
    </xf>
    <xf numFmtId="175" fontId="24" fillId="0" borderId="0" xfId="19" applyNumberFormat="1" applyFont="1" applyFill="1" applyBorder="1" applyAlignment="1" applyProtection="1">
      <alignment horizontal="center"/>
      <protection locked="0"/>
    </xf>
    <xf numFmtId="169" fontId="40" fillId="5" borderId="0" xfId="0" applyNumberFormat="1" applyFont="1" applyFill="1" applyBorder="1" applyAlignment="1" applyProtection="1">
      <alignment horizontal="center"/>
      <protection locked="0"/>
    </xf>
    <xf numFmtId="164" fontId="24" fillId="2" borderId="0" xfId="0" applyFont="1" applyFill="1" applyAlignment="1" applyProtection="1">
      <alignment/>
      <protection locked="0"/>
    </xf>
    <xf numFmtId="169" fontId="24" fillId="5" borderId="0" xfId="0" applyNumberFormat="1" applyFont="1" applyFill="1" applyAlignment="1" applyProtection="1">
      <alignment horizontal="left"/>
      <protection locked="0"/>
    </xf>
    <xf numFmtId="164" fontId="40" fillId="5" borderId="0" xfId="0" applyFont="1" applyFill="1" applyBorder="1" applyAlignment="1" applyProtection="1">
      <alignment horizontal="center"/>
      <protection locked="0"/>
    </xf>
    <xf numFmtId="169" fontId="24" fillId="5" borderId="0" xfId="0" applyNumberFormat="1" applyFont="1" applyFill="1" applyBorder="1" applyAlignment="1" applyProtection="1">
      <alignment horizontal="left"/>
      <protection locked="0"/>
    </xf>
    <xf numFmtId="164" fontId="24" fillId="0" borderId="0" xfId="0" applyFont="1" applyAlignment="1" applyProtection="1">
      <alignment/>
      <protection locked="0"/>
    </xf>
    <xf numFmtId="164" fontId="40" fillId="0" borderId="0" xfId="0" applyFont="1" applyAlignment="1" applyProtection="1">
      <alignment horizontal="center"/>
      <protection locked="0"/>
    </xf>
    <xf numFmtId="164" fontId="31" fillId="2" borderId="0" xfId="0" applyFont="1" applyFill="1" applyAlignment="1" applyProtection="1">
      <alignment horizontal="left"/>
      <protection locked="0"/>
    </xf>
    <xf numFmtId="164" fontId="24" fillId="7" borderId="36" xfId="0" applyFont="1" applyFill="1" applyBorder="1" applyAlignment="1" applyProtection="1">
      <alignment/>
      <protection locked="0"/>
    </xf>
    <xf numFmtId="164" fontId="31" fillId="16" borderId="0" xfId="0" applyFont="1" applyFill="1" applyBorder="1" applyAlignment="1" applyProtection="1">
      <alignment horizontal="center"/>
      <protection locked="0"/>
    </xf>
    <xf numFmtId="167" fontId="24" fillId="0" borderId="0" xfId="0" applyNumberFormat="1" applyFont="1" applyAlignment="1" applyProtection="1">
      <alignment horizontal="center"/>
      <protection locked="0"/>
    </xf>
    <xf numFmtId="169" fontId="24" fillId="7" borderId="36" xfId="0" applyNumberFormat="1" applyFont="1" applyFill="1" applyBorder="1" applyAlignment="1" applyProtection="1">
      <alignment horizontal="center"/>
      <protection locked="0"/>
    </xf>
    <xf numFmtId="164" fontId="31" fillId="0" borderId="0" xfId="0" applyFont="1" applyAlignment="1" applyProtection="1">
      <alignment horizontal="center"/>
      <protection locked="0"/>
    </xf>
    <xf numFmtId="164" fontId="31" fillId="7" borderId="0" xfId="0" applyFont="1" applyFill="1" applyAlignment="1" applyProtection="1">
      <alignment/>
      <protection locked="0"/>
    </xf>
    <xf numFmtId="164" fontId="24" fillId="2" borderId="36" xfId="0" applyFont="1" applyFill="1" applyBorder="1" applyAlignment="1" applyProtection="1">
      <alignment/>
      <protection locked="0"/>
    </xf>
    <xf numFmtId="169" fontId="40" fillId="0" borderId="36" xfId="15" applyNumberFormat="1" applyFont="1" applyFill="1" applyBorder="1" applyAlignment="1" applyProtection="1">
      <alignment horizontal="center"/>
      <protection locked="0"/>
    </xf>
    <xf numFmtId="169" fontId="24" fillId="5" borderId="36" xfId="0" applyNumberFormat="1" applyFont="1" applyFill="1" applyBorder="1" applyAlignment="1" applyProtection="1">
      <alignment horizontal="center"/>
      <protection locked="0"/>
    </xf>
    <xf numFmtId="169" fontId="40" fillId="0" borderId="37" xfId="15" applyNumberFormat="1" applyFont="1" applyFill="1" applyBorder="1" applyAlignment="1" applyProtection="1">
      <alignment horizontal="center"/>
      <protection locked="0"/>
    </xf>
    <xf numFmtId="169" fontId="40" fillId="7" borderId="36" xfId="15" applyNumberFormat="1" applyFont="1" applyFill="1" applyBorder="1" applyAlignment="1" applyProtection="1">
      <alignment horizontal="center"/>
      <protection locked="0"/>
    </xf>
    <xf numFmtId="169" fontId="40" fillId="2" borderId="13" xfId="15" applyNumberFormat="1" applyFont="1" applyFill="1" applyBorder="1" applyAlignment="1" applyProtection="1">
      <alignment horizontal="center"/>
      <protection locked="0"/>
    </xf>
    <xf numFmtId="169" fontId="40" fillId="5" borderId="36" xfId="15" applyNumberFormat="1" applyFont="1" applyFill="1" applyBorder="1" applyAlignment="1" applyProtection="1">
      <alignment horizontal="center"/>
      <protection locked="0"/>
    </xf>
    <xf numFmtId="164" fontId="31" fillId="7" borderId="36" xfId="0" applyFont="1" applyFill="1" applyBorder="1" applyAlignment="1" applyProtection="1">
      <alignment horizontal="center"/>
      <protection locked="0"/>
    </xf>
    <xf numFmtId="164" fontId="24" fillId="0" borderId="0" xfId="0" applyFont="1" applyAlignment="1" applyProtection="1">
      <alignment horizontal="center"/>
      <protection locked="0"/>
    </xf>
    <xf numFmtId="169" fontId="40" fillId="16" borderId="36" xfId="15" applyNumberFormat="1" applyFont="1" applyFill="1" applyBorder="1" applyAlignment="1" applyProtection="1">
      <alignment horizontal="center"/>
      <protection locked="0"/>
    </xf>
    <xf numFmtId="169" fontId="40" fillId="2" borderId="36" xfId="15" applyNumberFormat="1" applyFont="1" applyFill="1" applyBorder="1" applyAlignment="1" applyProtection="1">
      <alignment horizontal="center"/>
      <protection locked="0"/>
    </xf>
    <xf numFmtId="169" fontId="31" fillId="0" borderId="0" xfId="0" applyNumberFormat="1" applyFont="1" applyAlignment="1" applyProtection="1">
      <alignment horizontal="center"/>
      <protection locked="0"/>
    </xf>
    <xf numFmtId="164" fontId="52" fillId="0" borderId="0" xfId="0" applyFont="1" applyAlignment="1" applyProtection="1">
      <alignment/>
      <protection locked="0"/>
    </xf>
    <xf numFmtId="164" fontId="52" fillId="0" borderId="0" xfId="0" applyNumberFormat="1" applyFont="1" applyAlignment="1" applyProtection="1">
      <alignment/>
      <protection locked="0"/>
    </xf>
    <xf numFmtId="164" fontId="52" fillId="0" borderId="34" xfId="0" applyFont="1" applyBorder="1" applyAlignment="1" applyProtection="1">
      <alignment/>
      <protection locked="0"/>
    </xf>
    <xf numFmtId="169" fontId="52" fillId="0" borderId="0" xfId="0" applyNumberFormat="1" applyFont="1" applyAlignment="1" applyProtection="1">
      <alignment/>
      <protection locked="0"/>
    </xf>
    <xf numFmtId="164" fontId="52" fillId="0" borderId="10" xfId="0" applyFont="1" applyBorder="1" applyAlignment="1" applyProtection="1">
      <alignment/>
      <protection locked="0"/>
    </xf>
    <xf numFmtId="169" fontId="52" fillId="0" borderId="10" xfId="0" applyNumberFormat="1" applyFont="1" applyBorder="1" applyAlignment="1" applyProtection="1">
      <alignment/>
      <protection locked="0"/>
    </xf>
    <xf numFmtId="164" fontId="52" fillId="0" borderId="25" xfId="0" applyFont="1" applyBorder="1" applyAlignment="1" applyProtection="1">
      <alignment/>
      <protection locked="0"/>
    </xf>
    <xf numFmtId="164" fontId="52" fillId="0" borderId="53" xfId="0" applyFont="1" applyBorder="1" applyAlignment="1" applyProtection="1">
      <alignment/>
      <protection locked="0"/>
    </xf>
    <xf numFmtId="164" fontId="52" fillId="22" borderId="0" xfId="0" applyNumberFormat="1" applyFont="1" applyFill="1" applyBorder="1" applyAlignment="1" applyProtection="1">
      <alignment/>
      <protection locked="0"/>
    </xf>
    <xf numFmtId="164" fontId="52" fillId="22" borderId="0" xfId="0" applyFont="1" applyFill="1" applyAlignment="1" applyProtection="1">
      <alignment/>
      <protection locked="0"/>
    </xf>
    <xf numFmtId="164" fontId="52" fillId="22" borderId="0" xfId="0" applyFont="1" applyFill="1" applyBorder="1" applyAlignment="1" applyProtection="1">
      <alignment/>
      <protection locked="0"/>
    </xf>
    <xf numFmtId="164" fontId="52" fillId="0" borderId="0" xfId="0" applyFont="1" applyFill="1" applyBorder="1" applyAlignment="1" applyProtection="1">
      <alignment/>
      <protection locked="0"/>
    </xf>
    <xf numFmtId="164" fontId="52" fillId="0" borderId="0" xfId="0" applyFont="1" applyBorder="1" applyAlignment="1" applyProtection="1">
      <alignment/>
      <protection locked="0"/>
    </xf>
    <xf numFmtId="164" fontId="52" fillId="0" borderId="0" xfId="0" applyFont="1" applyFill="1" applyAlignment="1" applyProtection="1">
      <alignment/>
      <protection locked="0"/>
    </xf>
    <xf numFmtId="164" fontId="0" fillId="22" borderId="0" xfId="0" applyFill="1" applyAlignment="1" applyProtection="1">
      <alignment/>
      <protection locked="0"/>
    </xf>
    <xf numFmtId="164" fontId="0" fillId="22" borderId="10" xfId="0" applyFill="1" applyBorder="1" applyAlignment="1" applyProtection="1">
      <alignment/>
      <protection locked="0"/>
    </xf>
    <xf numFmtId="164" fontId="0" fillId="22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23" borderId="37" xfId="0" applyNumberFormat="1" applyFont="1" applyFill="1" applyBorder="1" applyAlignment="1" applyProtection="1">
      <alignment/>
      <protection locked="0"/>
    </xf>
    <xf numFmtId="164" fontId="0" fillId="23" borderId="12" xfId="0" applyNumberFormat="1" applyFont="1" applyFill="1" applyBorder="1" applyAlignment="1" applyProtection="1">
      <alignment/>
      <protection locked="0"/>
    </xf>
    <xf numFmtId="164" fontId="0" fillId="23" borderId="12" xfId="0" applyFont="1" applyFill="1" applyBorder="1" applyAlignment="1" applyProtection="1">
      <alignment/>
      <protection locked="0"/>
    </xf>
    <xf numFmtId="164" fontId="0" fillId="23" borderId="12" xfId="0" applyFill="1" applyBorder="1" applyAlignment="1" applyProtection="1">
      <alignment/>
      <protection locked="0"/>
    </xf>
    <xf numFmtId="164" fontId="0" fillId="23" borderId="13" xfId="0" applyFill="1" applyBorder="1" applyAlignment="1" applyProtection="1">
      <alignment/>
      <protection locked="0"/>
    </xf>
    <xf numFmtId="164" fontId="0" fillId="23" borderId="24" xfId="0" applyNumberFormat="1" applyFont="1" applyFill="1" applyBorder="1" applyAlignment="1" applyProtection="1">
      <alignment/>
      <protection locked="0"/>
    </xf>
    <xf numFmtId="164" fontId="0" fillId="23" borderId="10" xfId="0" applyFont="1" applyFill="1" applyBorder="1" applyAlignment="1" applyProtection="1">
      <alignment/>
      <protection locked="0"/>
    </xf>
    <xf numFmtId="164" fontId="0" fillId="23" borderId="10" xfId="0" applyFill="1" applyBorder="1" applyAlignment="1" applyProtection="1">
      <alignment/>
      <protection locked="0"/>
    </xf>
    <xf numFmtId="164" fontId="0" fillId="23" borderId="0" xfId="0" applyFill="1" applyBorder="1" applyAlignment="1" applyProtection="1">
      <alignment/>
      <protection locked="0"/>
    </xf>
    <xf numFmtId="164" fontId="0" fillId="23" borderId="0" xfId="0" applyFill="1" applyAlignment="1" applyProtection="1">
      <alignment/>
      <protection locked="0"/>
    </xf>
    <xf numFmtId="164" fontId="0" fillId="23" borderId="34" xfId="0" applyFill="1" applyBorder="1" applyAlignment="1" applyProtection="1">
      <alignment/>
      <protection locked="0"/>
    </xf>
    <xf numFmtId="164" fontId="0" fillId="23" borderId="37" xfId="0" applyFill="1" applyBorder="1" applyAlignment="1" applyProtection="1">
      <alignment/>
      <protection locked="0"/>
    </xf>
    <xf numFmtId="164" fontId="24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24" fillId="0" borderId="0" xfId="0" applyFont="1" applyFill="1" applyAlignment="1" applyProtection="1">
      <alignment horizontal="center"/>
      <protection locked="0"/>
    </xf>
    <xf numFmtId="164" fontId="25" fillId="0" borderId="0" xfId="0" applyNumberFormat="1" applyFont="1" applyFill="1" applyBorder="1" applyAlignment="1" applyProtection="1">
      <alignment/>
      <protection locked="0"/>
    </xf>
    <xf numFmtId="164" fontId="53" fillId="0" borderId="0" xfId="0" applyNumberFormat="1" applyFont="1" applyFill="1" applyBorder="1" applyAlignment="1" applyProtection="1">
      <alignment/>
      <protection locked="0"/>
    </xf>
    <xf numFmtId="164" fontId="24" fillId="0" borderId="0" xfId="0" applyFont="1" applyFill="1" applyAlignment="1" applyProtection="1">
      <alignment horizontal="center"/>
      <protection locked="0"/>
    </xf>
    <xf numFmtId="164" fontId="24" fillId="0" borderId="0" xfId="17" applyNumberFormat="1" applyFont="1" applyFill="1" applyBorder="1" applyAlignment="1" applyProtection="1">
      <alignment/>
      <protection locked="0"/>
    </xf>
    <xf numFmtId="164" fontId="31" fillId="0" borderId="0" xfId="0" applyNumberFormat="1" applyFont="1" applyFill="1" applyAlignment="1" applyProtection="1">
      <alignment/>
      <protection locked="0"/>
    </xf>
    <xf numFmtId="175" fontId="31" fillId="0" borderId="0" xfId="0" applyNumberFormat="1" applyFont="1" applyFill="1" applyAlignment="1" applyProtection="1">
      <alignment horizontal="left"/>
      <protection locked="0"/>
    </xf>
    <xf numFmtId="175" fontId="24" fillId="0" borderId="0" xfId="0" applyNumberFormat="1" applyFont="1" applyFill="1" applyAlignment="1" applyProtection="1">
      <alignment horizontal="left"/>
      <protection locked="0"/>
    </xf>
    <xf numFmtId="164" fontId="31" fillId="0" borderId="0" xfId="0" applyFont="1" applyFill="1" applyBorder="1" applyAlignment="1" applyProtection="1">
      <alignment horizontal="center"/>
      <protection locked="0"/>
    </xf>
    <xf numFmtId="169" fontId="54" fillId="0" borderId="0" xfId="15" applyNumberFormat="1" applyFont="1" applyFill="1" applyBorder="1" applyAlignment="1" applyProtection="1">
      <alignment horizontal="center"/>
      <protection locked="0"/>
    </xf>
    <xf numFmtId="164" fontId="24" fillId="0" borderId="0" xfId="0" applyFont="1" applyFill="1" applyAlignment="1" applyProtection="1">
      <alignment horizontal="left"/>
      <protection locked="0"/>
    </xf>
    <xf numFmtId="169" fontId="31" fillId="0" borderId="0" xfId="15" applyNumberFormat="1" applyFont="1" applyFill="1" applyBorder="1" applyAlignment="1" applyProtection="1">
      <alignment horizontal="left"/>
      <protection locked="0"/>
    </xf>
    <xf numFmtId="164" fontId="24" fillId="0" borderId="0" xfId="0" applyFont="1" applyFill="1" applyBorder="1" applyAlignment="1" applyProtection="1">
      <alignment/>
      <protection locked="0"/>
    </xf>
    <xf numFmtId="171" fontId="31" fillId="0" borderId="0" xfId="0" applyNumberFormat="1" applyFont="1" applyFill="1" applyBorder="1" applyAlignment="1" applyProtection="1">
      <alignment horizontal="center"/>
      <protection locked="0"/>
    </xf>
    <xf numFmtId="171" fontId="31" fillId="0" borderId="0" xfId="0" applyNumberFormat="1" applyFont="1" applyFill="1" applyAlignment="1" applyProtection="1">
      <alignment horizontal="left"/>
      <protection locked="0"/>
    </xf>
    <xf numFmtId="173" fontId="40" fillId="0" borderId="0" xfId="0" applyNumberFormat="1" applyFont="1" applyFill="1" applyBorder="1" applyAlignment="1" applyProtection="1">
      <alignment horizontal="center"/>
      <protection locked="0"/>
    </xf>
    <xf numFmtId="171" fontId="40" fillId="0" borderId="0" xfId="15" applyNumberFormat="1" applyFont="1" applyFill="1" applyBorder="1" applyAlignment="1" applyProtection="1">
      <alignment horizontal="center"/>
      <protection locked="0"/>
    </xf>
    <xf numFmtId="164" fontId="24" fillId="0" borderId="0" xfId="0" applyFont="1" applyFill="1" applyBorder="1" applyAlignment="1" applyProtection="1">
      <alignment horizontal="center"/>
      <protection locked="0"/>
    </xf>
    <xf numFmtId="164" fontId="31" fillId="0" borderId="0" xfId="0" applyFont="1" applyFill="1" applyAlignment="1" applyProtection="1">
      <alignment horizontal="left"/>
      <protection locked="0"/>
    </xf>
    <xf numFmtId="164" fontId="24" fillId="0" borderId="0" xfId="0" applyFont="1" applyFill="1" applyBorder="1" applyAlignment="1" applyProtection="1">
      <alignment/>
      <protection locked="0"/>
    </xf>
    <xf numFmtId="169" fontId="55" fillId="0" borderId="0" xfId="15" applyNumberFormat="1" applyFont="1" applyFill="1" applyBorder="1" applyAlignment="1" applyProtection="1">
      <alignment horizontal="center"/>
      <protection locked="0"/>
    </xf>
    <xf numFmtId="169" fontId="24" fillId="0" borderId="0" xfId="15" applyNumberFormat="1" applyFont="1" applyFill="1" applyBorder="1" applyAlignment="1" applyProtection="1">
      <alignment/>
      <protection locked="0"/>
    </xf>
    <xf numFmtId="175" fontId="24" fillId="0" borderId="0" xfId="19" applyNumberFormat="1" applyFont="1" applyFill="1" applyBorder="1" applyAlignment="1" applyProtection="1">
      <alignment horizontal="left"/>
      <protection locked="0"/>
    </xf>
    <xf numFmtId="174" fontId="24" fillId="0" borderId="0" xfId="19" applyFont="1" applyFill="1" applyBorder="1" applyAlignment="1" applyProtection="1">
      <alignment horizontal="left"/>
      <protection locked="0"/>
    </xf>
    <xf numFmtId="164" fontId="24" fillId="0" borderId="0" xfId="0" applyFont="1" applyFill="1" applyAlignment="1" applyProtection="1">
      <alignment horizontal="left"/>
      <protection locked="0"/>
    </xf>
    <xf numFmtId="164" fontId="24" fillId="0" borderId="0" xfId="0" applyFont="1" applyFill="1" applyAlignment="1" applyProtection="1">
      <alignment/>
      <protection locked="0"/>
    </xf>
    <xf numFmtId="164" fontId="55" fillId="0" borderId="0" xfId="0" applyFont="1" applyFill="1" applyAlignment="1" applyProtection="1">
      <alignment horizontal="center"/>
      <protection locked="0"/>
    </xf>
    <xf numFmtId="164" fontId="24" fillId="0" borderId="0" xfId="0" applyFont="1" applyFill="1" applyAlignment="1" applyProtection="1">
      <alignment/>
      <protection locked="0"/>
    </xf>
    <xf numFmtId="171" fontId="24" fillId="0" borderId="0" xfId="19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locked="0"/>
    </xf>
    <xf numFmtId="164" fontId="40" fillId="0" borderId="0" xfId="0" applyFont="1" applyFill="1" applyAlignment="1" applyProtection="1">
      <alignment horizontal="center"/>
      <protection locked="0"/>
    </xf>
    <xf numFmtId="171" fontId="24" fillId="0" borderId="0" xfId="19" applyNumberFormat="1" applyFont="1" applyFill="1" applyBorder="1" applyAlignment="1" applyProtection="1">
      <alignment/>
      <protection locked="0"/>
    </xf>
    <xf numFmtId="174" fontId="24" fillId="0" borderId="0" xfId="19" applyFont="1" applyFill="1" applyBorder="1" applyAlignment="1" applyProtection="1">
      <alignment horizontal="center"/>
      <protection locked="0"/>
    </xf>
    <xf numFmtId="174" fontId="0" fillId="0" borderId="0" xfId="19" applyFont="1" applyFill="1" applyBorder="1" applyAlignment="1" applyProtection="1">
      <alignment/>
      <protection locked="0"/>
    </xf>
    <xf numFmtId="169" fontId="56" fillId="2" borderId="36" xfId="0" applyNumberFormat="1" applyFont="1" applyFill="1" applyBorder="1" applyAlignment="1" applyProtection="1">
      <alignment horizontal="center"/>
      <protection locked="0"/>
    </xf>
    <xf numFmtId="170" fontId="24" fillId="2" borderId="27" xfId="0" applyNumberFormat="1" applyFont="1" applyFill="1" applyBorder="1" applyAlignment="1" applyProtection="1">
      <alignment horizontal="left"/>
      <protection locked="0"/>
    </xf>
    <xf numFmtId="164" fontId="31" fillId="2" borderId="27" xfId="0" applyFont="1" applyFill="1" applyBorder="1" applyAlignment="1" applyProtection="1">
      <alignment horizontal="center"/>
      <protection locked="0"/>
    </xf>
    <xf numFmtId="171" fontId="31" fillId="2" borderId="27" xfId="0" applyNumberFormat="1" applyFont="1" applyFill="1" applyBorder="1" applyAlignment="1" applyProtection="1">
      <alignment horizontal="center"/>
      <protection locked="0"/>
    </xf>
    <xf numFmtId="164" fontId="31" fillId="2" borderId="27" xfId="0" applyFont="1" applyFill="1" applyBorder="1" applyAlignment="1" applyProtection="1">
      <alignment horizontal="left"/>
      <protection locked="0"/>
    </xf>
    <xf numFmtId="164" fontId="31" fillId="2" borderId="27" xfId="0" applyFont="1" applyFill="1" applyBorder="1" applyAlignment="1" applyProtection="1">
      <alignment/>
      <protection locked="0"/>
    </xf>
    <xf numFmtId="169" fontId="31" fillId="2" borderId="27" xfId="0" applyNumberFormat="1" applyFont="1" applyFill="1" applyBorder="1" applyAlignment="1" applyProtection="1">
      <alignment horizontal="center"/>
      <protection locked="0"/>
    </xf>
    <xf numFmtId="164" fontId="24" fillId="2" borderId="27" xfId="0" applyFont="1" applyFill="1" applyBorder="1" applyAlignment="1" applyProtection="1">
      <alignment horizontal="left"/>
      <protection locked="0"/>
    </xf>
    <xf numFmtId="164" fontId="24" fillId="2" borderId="28" xfId="0" applyFont="1" applyFill="1" applyBorder="1" applyAlignment="1" applyProtection="1">
      <alignment/>
      <protection locked="0"/>
    </xf>
    <xf numFmtId="167" fontId="24" fillId="2" borderId="23" xfId="0" applyNumberFormat="1" applyFont="1" applyFill="1" applyBorder="1" applyAlignment="1" applyProtection="1">
      <alignment horizontal="center"/>
      <protection locked="0"/>
    </xf>
    <xf numFmtId="164" fontId="24" fillId="5" borderId="12" xfId="0" applyNumberFormat="1" applyFont="1" applyFill="1" applyBorder="1" applyAlignment="1" applyProtection="1">
      <alignment/>
      <protection locked="0"/>
    </xf>
    <xf numFmtId="164" fontId="24" fillId="16" borderId="10" xfId="0" applyNumberFormat="1" applyFont="1" applyFill="1" applyBorder="1" applyAlignment="1" applyProtection="1">
      <alignment/>
      <protection locked="0"/>
    </xf>
    <xf numFmtId="171" fontId="24" fillId="5" borderId="0" xfId="0" applyNumberFormat="1" applyFont="1" applyFill="1" applyBorder="1" applyAlignment="1" applyProtection="1">
      <alignment horizontal="center"/>
      <protection locked="0"/>
    </xf>
    <xf numFmtId="164" fontId="31" fillId="16" borderId="10" xfId="0" applyFont="1" applyFill="1" applyBorder="1" applyAlignment="1" applyProtection="1">
      <alignment horizontal="center"/>
      <protection locked="0"/>
    </xf>
    <xf numFmtId="164" fontId="31" fillId="5" borderId="10" xfId="0" applyFont="1" applyFill="1" applyBorder="1" applyAlignment="1" applyProtection="1">
      <alignment horizontal="center"/>
      <protection locked="0"/>
    </xf>
    <xf numFmtId="164" fontId="24" fillId="16" borderId="10" xfId="0" applyFont="1" applyFill="1" applyBorder="1" applyAlignment="1" applyProtection="1">
      <alignment horizontal="left"/>
      <protection locked="0"/>
    </xf>
    <xf numFmtId="164" fontId="24" fillId="16" borderId="10" xfId="0" applyFont="1" applyFill="1" applyBorder="1" applyAlignment="1" applyProtection="1">
      <alignment horizontal="center"/>
      <protection locked="0"/>
    </xf>
    <xf numFmtId="164" fontId="0" fillId="5" borderId="10" xfId="0" applyFill="1" applyBorder="1" applyAlignment="1" applyProtection="1">
      <alignment/>
      <protection locked="0"/>
    </xf>
    <xf numFmtId="164" fontId="24" fillId="16" borderId="10" xfId="0" applyFont="1" applyFill="1" applyBorder="1" applyAlignment="1" applyProtection="1">
      <alignment/>
      <protection locked="0"/>
    </xf>
    <xf numFmtId="164" fontId="24" fillId="5" borderId="10" xfId="0" applyFont="1" applyFill="1" applyBorder="1" applyAlignment="1" applyProtection="1">
      <alignment/>
      <protection locked="0"/>
    </xf>
    <xf numFmtId="171" fontId="24" fillId="16" borderId="10" xfId="0" applyNumberFormat="1" applyFont="1" applyFill="1" applyBorder="1" applyAlignment="1" applyProtection="1">
      <alignment horizontal="center"/>
      <protection locked="0"/>
    </xf>
    <xf numFmtId="164" fontId="24" fillId="2" borderId="34" xfId="0" applyFont="1" applyFill="1" applyBorder="1" applyAlignment="1" applyProtection="1">
      <alignment/>
      <protection locked="0"/>
    </xf>
    <xf numFmtId="164" fontId="24" fillId="16" borderId="12" xfId="0" applyNumberFormat="1" applyFont="1" applyFill="1" applyBorder="1" applyAlignment="1" applyProtection="1">
      <alignment/>
      <protection locked="0"/>
    </xf>
    <xf numFmtId="164" fontId="31" fillId="16" borderId="12" xfId="0" applyFont="1" applyFill="1" applyBorder="1" applyAlignment="1" applyProtection="1">
      <alignment horizontal="center"/>
      <protection locked="0"/>
    </xf>
    <xf numFmtId="164" fontId="31" fillId="5" borderId="12" xfId="0" applyFont="1" applyFill="1" applyBorder="1" applyAlignment="1" applyProtection="1">
      <alignment horizontal="center"/>
      <protection locked="0"/>
    </xf>
    <xf numFmtId="164" fontId="24" fillId="16" borderId="12" xfId="0" applyFont="1" applyFill="1" applyBorder="1" applyAlignment="1" applyProtection="1">
      <alignment horizontal="left"/>
      <protection locked="0"/>
    </xf>
    <xf numFmtId="164" fontId="24" fillId="16" borderId="12" xfId="0" applyFont="1" applyFill="1" applyBorder="1" applyAlignment="1" applyProtection="1">
      <alignment horizontal="center"/>
      <protection locked="0"/>
    </xf>
    <xf numFmtId="164" fontId="24" fillId="5" borderId="12" xfId="0" applyFont="1" applyFill="1" applyBorder="1" applyAlignment="1" applyProtection="1">
      <alignment/>
      <protection locked="0"/>
    </xf>
    <xf numFmtId="164" fontId="24" fillId="16" borderId="12" xfId="0" applyFont="1" applyFill="1" applyBorder="1" applyAlignment="1" applyProtection="1">
      <alignment/>
      <protection locked="0"/>
    </xf>
    <xf numFmtId="171" fontId="24" fillId="16" borderId="12" xfId="0" applyNumberFormat="1" applyFont="1" applyFill="1" applyBorder="1" applyAlignment="1" applyProtection="1">
      <alignment horizontal="center"/>
      <protection locked="0"/>
    </xf>
    <xf numFmtId="164" fontId="24" fillId="5" borderId="12" xfId="0" applyFont="1" applyFill="1" applyBorder="1" applyAlignment="1" applyProtection="1">
      <alignment horizontal="left"/>
      <protection locked="0"/>
    </xf>
    <xf numFmtId="164" fontId="0" fillId="2" borderId="34" xfId="0" applyFill="1" applyBorder="1" applyAlignment="1" applyProtection="1">
      <alignment/>
      <protection locked="0"/>
    </xf>
    <xf numFmtId="164" fontId="24" fillId="16" borderId="0" xfId="0" applyNumberFormat="1" applyFont="1" applyFill="1" applyBorder="1" applyAlignment="1" applyProtection="1">
      <alignment/>
      <protection locked="0"/>
    </xf>
    <xf numFmtId="164" fontId="24" fillId="16" borderId="0" xfId="0" applyFont="1" applyFill="1" applyBorder="1" applyAlignment="1" applyProtection="1">
      <alignment horizontal="center"/>
      <protection locked="0"/>
    </xf>
    <xf numFmtId="171" fontId="24" fillId="16" borderId="0" xfId="0" applyNumberFormat="1" applyFont="1" applyFill="1" applyBorder="1" applyAlignment="1" applyProtection="1">
      <alignment horizontal="center"/>
      <protection locked="0"/>
    </xf>
    <xf numFmtId="164" fontId="0" fillId="5" borderId="12" xfId="0" applyFill="1" applyBorder="1" applyAlignment="1" applyProtection="1">
      <alignment horizontal="left"/>
      <protection locked="0"/>
    </xf>
    <xf numFmtId="164" fontId="24" fillId="5" borderId="0" xfId="0" applyNumberFormat="1" applyFont="1" applyFill="1" applyBorder="1" applyAlignment="1" applyProtection="1">
      <alignment/>
      <protection locked="0"/>
    </xf>
    <xf numFmtId="164" fontId="24" fillId="2" borderId="34" xfId="0" applyFont="1" applyFill="1" applyBorder="1" applyAlignment="1" applyProtection="1">
      <alignment horizontal="left"/>
      <protection locked="0"/>
    </xf>
    <xf numFmtId="164" fontId="0" fillId="2" borderId="34" xfId="0" applyFill="1" applyBorder="1" applyAlignment="1" applyProtection="1">
      <alignment horizontal="left"/>
      <protection locked="0"/>
    </xf>
    <xf numFmtId="164" fontId="0" fillId="2" borderId="24" xfId="0" applyFill="1" applyBorder="1" applyAlignment="1" applyProtection="1">
      <alignment/>
      <protection locked="0"/>
    </xf>
    <xf numFmtId="164" fontId="0" fillId="2" borderId="10" xfId="0" applyFill="1" applyBorder="1" applyAlignment="1" applyProtection="1">
      <alignment/>
      <protection locked="0"/>
    </xf>
    <xf numFmtId="169" fontId="0" fillId="2" borderId="10" xfId="0" applyNumberFormat="1" applyFill="1" applyBorder="1" applyAlignment="1" applyProtection="1">
      <alignment horizontal="center"/>
      <protection locked="0"/>
    </xf>
    <xf numFmtId="164" fontId="0" fillId="2" borderId="25" xfId="0" applyFill="1" applyBorder="1" applyAlignment="1" applyProtection="1">
      <alignment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F2F2F2"/>
      <rgbColor rgb="00600080"/>
      <rgbColor rgb="00FF8080"/>
      <rgbColor rgb="000080C0"/>
      <rgbColor rgb="00C0C0FF"/>
      <rgbColor rgb="00000080"/>
      <rgbColor rgb="00FF00FF"/>
      <rgbColor rgb="00FFFFF0"/>
      <rgbColor rgb="0000FFFF"/>
      <rgbColor rgb="00800080"/>
      <rgbColor rgb="00800000"/>
      <rgbColor rgb="00008080"/>
      <rgbColor rgb="000000FF"/>
      <rgbColor rgb="00A0E0E0"/>
      <rgbColor rgb="00E7E7E7"/>
      <rgbColor rgb="00E3E3E3"/>
      <rgbColor rgb="00FFFF99"/>
      <rgbColor rgb="00A6CAF0"/>
      <rgbColor rgb="00CC9CCC"/>
      <rgbColor rgb="00CC99FF"/>
      <rgbColor rgb="00D9D9D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802060"/>
              </a:solidFill>
            </c:spPr>
          </c:dPt>
          <c:dPt>
            <c:idx val="2"/>
            <c:invertIfNegative val="0"/>
            <c:spPr>
              <a:solidFill>
                <a:srgbClr val="FFFFC0"/>
              </a:solidFill>
            </c:spPr>
          </c:dPt>
          <c:dPt>
            <c:idx val="3"/>
            <c:invertIfNegative val="0"/>
            <c:spPr>
              <a:solidFill>
                <a:srgbClr val="A0E0E0"/>
              </a:solidFill>
            </c:spPr>
          </c:dPt>
          <c:dPt>
            <c:idx val="4"/>
            <c:invertIfNegative val="0"/>
            <c:spPr>
              <a:solidFill>
                <a:srgbClr val="6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6"/>
            <c:invertIfNegative val="0"/>
            <c:spPr>
              <a:solidFill>
                <a:srgbClr val="0080C0"/>
              </a:solidFill>
            </c:spPr>
          </c:dPt>
          <c:dPt>
            <c:idx val="7"/>
            <c:invertIfNegative val="0"/>
            <c:spPr>
              <a:solidFill>
                <a:srgbClr val="C0C0FF"/>
              </a:solidFill>
            </c:spPr>
          </c:dPt>
          <c:dPt>
            <c:idx val="8"/>
            <c:invertIfNegative val="0"/>
            <c:spPr>
              <a:solidFill>
                <a:srgbClr val="000080"/>
              </a:solidFill>
            </c:spPr>
          </c:dPt>
          <c:dPt>
            <c:idx val="9"/>
            <c:invertIfNegative val="0"/>
            <c:spPr>
              <a:solidFill>
                <a:srgbClr val="FF00FF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00FFFF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3"/>
            <c:invertIfNegative val="0"/>
            <c:spPr>
              <a:solidFill>
                <a:srgbClr val="8000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Statistika!$C$3:$P$3</c:f>
              <c:strCache/>
            </c:strRef>
          </c:cat>
          <c:val>
            <c:numRef>
              <c:f>Statistika!$C$9:$P$9</c:f>
              <c:numCache/>
            </c:numRef>
          </c:val>
        </c:ser>
        <c:gapWidth val="40"/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5"/>
        </c:scaling>
        <c:axPos val="l"/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802060"/>
              </a:solidFill>
            </c:spPr>
          </c:dPt>
          <c:dPt>
            <c:idx val="2"/>
            <c:invertIfNegative val="0"/>
            <c:spPr>
              <a:solidFill>
                <a:srgbClr val="FFFFC0"/>
              </a:solidFill>
            </c:spPr>
          </c:dPt>
          <c:dPt>
            <c:idx val="3"/>
            <c:invertIfNegative val="0"/>
            <c:spPr>
              <a:solidFill>
                <a:srgbClr val="A0E0E0"/>
              </a:solidFill>
            </c:spPr>
          </c:dPt>
          <c:dPt>
            <c:idx val="4"/>
            <c:invertIfNegative val="0"/>
            <c:spPr>
              <a:solidFill>
                <a:srgbClr val="6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6"/>
            <c:invertIfNegative val="0"/>
            <c:spPr>
              <a:solidFill>
                <a:srgbClr val="0080C0"/>
              </a:solidFill>
            </c:spPr>
          </c:dPt>
          <c:dPt>
            <c:idx val="7"/>
            <c:invertIfNegative val="0"/>
            <c:spPr>
              <a:solidFill>
                <a:srgbClr val="C0C0FF"/>
              </a:solidFill>
            </c:spPr>
          </c:dPt>
          <c:dPt>
            <c:idx val="8"/>
            <c:invertIfNegative val="0"/>
            <c:spPr>
              <a:solidFill>
                <a:srgbClr val="000080"/>
              </a:solidFill>
            </c:spPr>
          </c:dPt>
          <c:dPt>
            <c:idx val="9"/>
            <c:invertIfNegative val="0"/>
            <c:spPr>
              <a:solidFill>
                <a:srgbClr val="FF00FF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00FFFF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3"/>
            <c:invertIfNegative val="0"/>
            <c:spPr>
              <a:solidFill>
                <a:srgbClr val="8000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Statistika!$C$3:$P$3</c:f>
              <c:strCache/>
            </c:strRef>
          </c:cat>
          <c:val>
            <c:numRef>
              <c:f>Statistika!$C$8:$P$8</c:f>
              <c:numCache/>
            </c:numRef>
          </c:val>
        </c:ser>
        <c:gapWidth val="40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between"/>
        <c:dispUnits/>
      </c:valAx>
      <c:spPr>
        <a:gradFill rotWithShape="1">
          <a:gsLst>
            <a:gs pos="0">
              <a:srgbClr val="A6CAF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247650</xdr:colOff>
      <xdr:row>43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182100" cy="6400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247650</xdr:colOff>
      <xdr:row>43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9182100" cy="64008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17</xdr:col>
      <xdr:colOff>466725</xdr:colOff>
      <xdr:row>2</xdr:row>
      <xdr:rowOff>142875</xdr:rowOff>
    </xdr:to>
    <xdr:sp>
      <xdr:nvSpPr>
        <xdr:cNvPr id="1" name="Rectangle 7"/>
        <xdr:cNvSpPr>
          <a:spLocks/>
        </xdr:cNvSpPr>
      </xdr:nvSpPr>
      <xdr:spPr>
        <a:xfrm>
          <a:off x="7353300" y="295275"/>
          <a:ext cx="933450" cy="1428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0</xdr:colOff>
      <xdr:row>40</xdr:row>
      <xdr:rowOff>142875</xdr:rowOff>
    </xdr:to>
    <xdr:sp>
      <xdr:nvSpPr>
        <xdr:cNvPr id="2" name="Rectangle 8"/>
        <xdr:cNvSpPr>
          <a:spLocks/>
        </xdr:cNvSpPr>
      </xdr:nvSpPr>
      <xdr:spPr>
        <a:xfrm>
          <a:off x="0" y="0"/>
          <a:ext cx="8286750" cy="5876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228600</xdr:colOff>
      <xdr:row>42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515350" cy="6229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228600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8515350" cy="6229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17</xdr:col>
      <xdr:colOff>466725</xdr:colOff>
      <xdr:row>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705725" y="1209675"/>
          <a:ext cx="933450" cy="1428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466725</xdr:colOff>
      <xdr:row>2</xdr:row>
      <xdr:rowOff>133350</xdr:rowOff>
    </xdr:to>
    <xdr:sp>
      <xdr:nvSpPr>
        <xdr:cNvPr id="2" name="Rectangle 7"/>
        <xdr:cNvSpPr>
          <a:spLocks/>
        </xdr:cNvSpPr>
      </xdr:nvSpPr>
      <xdr:spPr>
        <a:xfrm>
          <a:off x="7705725" y="352425"/>
          <a:ext cx="933450" cy="133350"/>
        </a:xfrm>
        <a:prstGeom prst="rect">
          <a:avLst/>
        </a:prstGeom>
        <a:noFill/>
        <a:ln w="324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247650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285750" y="314325"/>
        <a:ext cx="8048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133350</xdr:rowOff>
    </xdr:from>
    <xdr:to>
      <xdr:col>14</xdr:col>
      <xdr:colOff>238125</xdr:colOff>
      <xdr:row>30</xdr:row>
      <xdr:rowOff>38100</xdr:rowOff>
    </xdr:to>
    <xdr:graphicFrame>
      <xdr:nvGraphicFramePr>
        <xdr:cNvPr id="2" name="Chart 2"/>
        <xdr:cNvGraphicFramePr/>
      </xdr:nvGraphicFramePr>
      <xdr:xfrm>
        <a:off x="285750" y="2867025"/>
        <a:ext cx="80391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43</xdr:row>
      <xdr:rowOff>152400</xdr:rowOff>
    </xdr:to>
    <xdr:sp>
      <xdr:nvSpPr>
        <xdr:cNvPr id="1" name="Rectangle 12"/>
        <xdr:cNvSpPr>
          <a:spLocks/>
        </xdr:cNvSpPr>
      </xdr:nvSpPr>
      <xdr:spPr>
        <a:xfrm>
          <a:off x="0" y="0"/>
          <a:ext cx="9439275" cy="6705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0</xdr:colOff>
      <xdr:row>43</xdr:row>
      <xdr:rowOff>152400</xdr:rowOff>
    </xdr:to>
    <xdr:sp>
      <xdr:nvSpPr>
        <xdr:cNvPr id="2" name="Rectangle 13"/>
        <xdr:cNvSpPr>
          <a:spLocks/>
        </xdr:cNvSpPr>
      </xdr:nvSpPr>
      <xdr:spPr>
        <a:xfrm>
          <a:off x="0" y="0"/>
          <a:ext cx="9439275" cy="6705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43</xdr:row>
      <xdr:rowOff>152400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9420225" cy="6705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0</xdr:colOff>
      <xdr:row>43</xdr:row>
      <xdr:rowOff>152400</xdr:rowOff>
    </xdr:to>
    <xdr:sp>
      <xdr:nvSpPr>
        <xdr:cNvPr id="2" name="Rectangle 8"/>
        <xdr:cNvSpPr>
          <a:spLocks/>
        </xdr:cNvSpPr>
      </xdr:nvSpPr>
      <xdr:spPr>
        <a:xfrm>
          <a:off x="0" y="0"/>
          <a:ext cx="9420225" cy="6705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43</xdr:row>
      <xdr:rowOff>152400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9458325" cy="6705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0</xdr:colOff>
      <xdr:row>42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705850" cy="61626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8705850" cy="61626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42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01075" cy="61626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0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8601075" cy="61626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E12" sqref="A1:IV65536"/>
    </sheetView>
  </sheetViews>
  <sheetFormatPr defaultColWidth="9.140625" defaultRowHeight="12.75"/>
  <cols>
    <col min="1" max="1" width="4.28125" style="1" customWidth="1"/>
    <col min="2" max="2" width="23.421875" style="2" customWidth="1"/>
    <col min="3" max="16" width="4.8515625" style="2" customWidth="1"/>
    <col min="17" max="20" width="6.57421875" style="2" customWidth="1"/>
    <col min="21" max="22" width="6.00390625" style="2" customWidth="1"/>
    <col min="23" max="23" width="3.7109375" style="2" customWidth="1"/>
    <col min="24" max="24" width="0.13671875" style="3" customWidth="1"/>
    <col min="25" max="25" width="9.140625" style="3" customWidth="1"/>
    <col min="26" max="27" width="0" style="1" hidden="1" customWidth="1"/>
    <col min="28" max="16384" width="9.00390625" style="2" customWidth="1"/>
  </cols>
  <sheetData>
    <row r="1" spans="1:27" s="14" customFormat="1" ht="15.75" customHeight="1">
      <c r="A1" s="4" t="s">
        <v>0</v>
      </c>
      <c r="B1" s="5"/>
      <c r="C1" s="6" t="s">
        <v>1</v>
      </c>
      <c r="D1" s="6"/>
      <c r="E1" s="7">
        <v>8</v>
      </c>
      <c r="F1" s="7" t="s">
        <v>2</v>
      </c>
      <c r="G1" s="7"/>
      <c r="H1" s="7"/>
      <c r="I1" s="7">
        <v>1</v>
      </c>
      <c r="J1" s="7" t="s">
        <v>3</v>
      </c>
      <c r="K1" s="7"/>
      <c r="L1" s="7"/>
      <c r="M1" s="8">
        <v>1</v>
      </c>
      <c r="N1" s="7" t="s">
        <v>4</v>
      </c>
      <c r="O1" s="7"/>
      <c r="P1" s="7"/>
      <c r="Q1" s="7"/>
      <c r="R1" s="7"/>
      <c r="S1" s="8" t="s">
        <v>5</v>
      </c>
      <c r="T1" s="8" t="s">
        <v>6</v>
      </c>
      <c r="U1" s="9"/>
      <c r="V1" s="10"/>
      <c r="W1" s="11" t="s">
        <v>7</v>
      </c>
      <c r="X1" s="12"/>
      <c r="Y1" s="12"/>
      <c r="Z1" s="13"/>
      <c r="AA1" s="13"/>
    </row>
    <row r="2" spans="1:23" ht="12.75" customHeight="1">
      <c r="A2" s="15"/>
      <c r="B2" s="16" t="s">
        <v>8</v>
      </c>
      <c r="C2" s="17" t="s">
        <v>9</v>
      </c>
      <c r="D2" s="18" t="s">
        <v>10</v>
      </c>
      <c r="E2" s="18" t="s">
        <v>11</v>
      </c>
      <c r="F2" s="18" t="s">
        <v>12</v>
      </c>
      <c r="G2" s="19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20" t="s">
        <v>28</v>
      </c>
      <c r="W2" s="15"/>
    </row>
    <row r="3" spans="1:27" ht="11.25" customHeight="1">
      <c r="A3" s="15">
        <v>1</v>
      </c>
      <c r="B3" s="21" t="s">
        <v>29</v>
      </c>
      <c r="C3" s="22">
        <v>5</v>
      </c>
      <c r="D3" s="23">
        <v>5</v>
      </c>
      <c r="E3" s="23">
        <v>5</v>
      </c>
      <c r="F3" s="23">
        <v>5</v>
      </c>
      <c r="G3" s="23">
        <v>5</v>
      </c>
      <c r="H3" s="23">
        <v>5</v>
      </c>
      <c r="I3" s="23">
        <v>5</v>
      </c>
      <c r="J3" s="23">
        <v>5</v>
      </c>
      <c r="K3" s="23">
        <v>5</v>
      </c>
      <c r="L3" s="23">
        <v>5</v>
      </c>
      <c r="M3" s="23">
        <v>5</v>
      </c>
      <c r="N3" s="23">
        <v>5</v>
      </c>
      <c r="O3" s="23"/>
      <c r="P3" s="23">
        <v>5</v>
      </c>
      <c r="Q3" s="24">
        <v>8</v>
      </c>
      <c r="R3" s="25">
        <v>1</v>
      </c>
      <c r="S3" s="24"/>
      <c r="T3" s="25"/>
      <c r="U3" s="26">
        <v>5</v>
      </c>
      <c r="V3" s="27" t="s">
        <v>30</v>
      </c>
      <c r="W3" s="15"/>
      <c r="Z3" s="1" t="s">
        <v>31</v>
      </c>
      <c r="AA3" s="1">
        <v>1</v>
      </c>
    </row>
    <row r="4" spans="1:27" ht="11.25" customHeight="1">
      <c r="A4" s="15">
        <v>2</v>
      </c>
      <c r="B4" s="28" t="s">
        <v>32</v>
      </c>
      <c r="C4" s="29">
        <v>2</v>
      </c>
      <c r="D4" s="30">
        <v>1</v>
      </c>
      <c r="E4" s="30">
        <v>4</v>
      </c>
      <c r="F4" s="30">
        <v>4</v>
      </c>
      <c r="G4" s="30">
        <v>2</v>
      </c>
      <c r="H4" s="30">
        <v>4</v>
      </c>
      <c r="I4" s="30">
        <v>1</v>
      </c>
      <c r="J4" s="30">
        <v>1</v>
      </c>
      <c r="K4" s="30">
        <v>2</v>
      </c>
      <c r="L4" s="30">
        <v>2</v>
      </c>
      <c r="M4" s="30">
        <v>3</v>
      </c>
      <c r="N4" s="30">
        <v>5</v>
      </c>
      <c r="O4" s="30"/>
      <c r="P4" s="30"/>
      <c r="Q4" s="31">
        <v>54</v>
      </c>
      <c r="R4" s="32">
        <v>21</v>
      </c>
      <c r="S4" s="31"/>
      <c r="T4" s="32"/>
      <c r="U4" s="33">
        <v>3</v>
      </c>
      <c r="V4" s="27" t="s">
        <v>31</v>
      </c>
      <c r="W4" s="15"/>
      <c r="Z4" s="1" t="s">
        <v>30</v>
      </c>
      <c r="AA4" s="1">
        <v>2</v>
      </c>
    </row>
    <row r="5" spans="1:23" ht="11.25" customHeight="1">
      <c r="A5" s="15">
        <v>3</v>
      </c>
      <c r="B5" s="28" t="s">
        <v>33</v>
      </c>
      <c r="C5" s="29">
        <v>4</v>
      </c>
      <c r="D5" s="30">
        <v>4</v>
      </c>
      <c r="E5" s="30">
        <v>5</v>
      </c>
      <c r="F5" s="30">
        <v>5</v>
      </c>
      <c r="G5" s="30">
        <v>2</v>
      </c>
      <c r="H5" s="30">
        <v>5</v>
      </c>
      <c r="I5" s="30">
        <v>3</v>
      </c>
      <c r="J5" s="30">
        <v>4</v>
      </c>
      <c r="K5" s="30">
        <v>3</v>
      </c>
      <c r="L5" s="30">
        <v>3</v>
      </c>
      <c r="M5" s="30">
        <v>5</v>
      </c>
      <c r="N5" s="30">
        <v>5</v>
      </c>
      <c r="O5" s="30">
        <v>5</v>
      </c>
      <c r="P5" s="30">
        <v>3</v>
      </c>
      <c r="Q5" s="31">
        <v>49</v>
      </c>
      <c r="R5" s="32">
        <v>3</v>
      </c>
      <c r="S5" s="31"/>
      <c r="T5" s="32"/>
      <c r="U5" s="33">
        <v>5</v>
      </c>
      <c r="V5" s="27" t="s">
        <v>30</v>
      </c>
      <c r="W5" s="15"/>
    </row>
    <row r="6" spans="1:23" ht="11.25" customHeight="1">
      <c r="A6" s="15">
        <v>4</v>
      </c>
      <c r="B6" s="34" t="s">
        <v>34</v>
      </c>
      <c r="C6" s="29">
        <v>5</v>
      </c>
      <c r="D6" s="30">
        <v>5</v>
      </c>
      <c r="E6" s="30">
        <v>5</v>
      </c>
      <c r="F6" s="30">
        <v>5</v>
      </c>
      <c r="G6" s="30">
        <v>5</v>
      </c>
      <c r="H6" s="30">
        <v>5</v>
      </c>
      <c r="I6" s="30">
        <v>5</v>
      </c>
      <c r="J6" s="30">
        <v>5</v>
      </c>
      <c r="K6" s="30">
        <v>5</v>
      </c>
      <c r="L6" s="30">
        <v>5</v>
      </c>
      <c r="M6" s="30">
        <v>5</v>
      </c>
      <c r="N6" s="30">
        <v>5</v>
      </c>
      <c r="O6" s="30">
        <v>5</v>
      </c>
      <c r="P6" s="30">
        <v>5</v>
      </c>
      <c r="Q6" s="31">
        <v>29</v>
      </c>
      <c r="R6" s="32">
        <v>0</v>
      </c>
      <c r="S6" s="31"/>
      <c r="T6" s="32"/>
      <c r="U6" s="33">
        <v>5</v>
      </c>
      <c r="V6" s="27" t="s">
        <v>30</v>
      </c>
      <c r="W6" s="15"/>
    </row>
    <row r="7" spans="1:23" ht="11.25" customHeight="1">
      <c r="A7" s="15">
        <v>5</v>
      </c>
      <c r="B7" s="28" t="s">
        <v>35</v>
      </c>
      <c r="C7" s="29">
        <v>3</v>
      </c>
      <c r="D7" s="30">
        <v>4</v>
      </c>
      <c r="E7" s="30">
        <v>4</v>
      </c>
      <c r="F7" s="30">
        <v>4</v>
      </c>
      <c r="G7" s="30">
        <v>3</v>
      </c>
      <c r="H7" s="30">
        <v>5</v>
      </c>
      <c r="I7" s="30">
        <v>1</v>
      </c>
      <c r="J7" s="30">
        <v>2</v>
      </c>
      <c r="K7" s="30">
        <v>4</v>
      </c>
      <c r="L7" s="30">
        <v>3</v>
      </c>
      <c r="M7" s="30">
        <v>3</v>
      </c>
      <c r="N7" s="30">
        <v>5</v>
      </c>
      <c r="O7" s="30"/>
      <c r="P7" s="30">
        <v>1</v>
      </c>
      <c r="Q7" s="31">
        <v>25</v>
      </c>
      <c r="R7" s="32">
        <v>17</v>
      </c>
      <c r="S7" s="31"/>
      <c r="T7" s="32"/>
      <c r="U7" s="33">
        <v>3</v>
      </c>
      <c r="V7" s="27" t="s">
        <v>31</v>
      </c>
      <c r="W7" s="15"/>
    </row>
    <row r="8" spans="1:26" ht="11.25" customHeight="1">
      <c r="A8" s="15">
        <v>6</v>
      </c>
      <c r="B8" s="34" t="s">
        <v>36</v>
      </c>
      <c r="C8" s="29">
        <v>4</v>
      </c>
      <c r="D8" s="30">
        <v>2</v>
      </c>
      <c r="E8" s="30">
        <v>5</v>
      </c>
      <c r="F8" s="30">
        <v>5</v>
      </c>
      <c r="G8" s="30">
        <v>2</v>
      </c>
      <c r="H8" s="30">
        <v>5</v>
      </c>
      <c r="I8" s="30">
        <v>1</v>
      </c>
      <c r="J8" s="30">
        <v>1</v>
      </c>
      <c r="K8" s="30">
        <v>5</v>
      </c>
      <c r="L8" s="30">
        <v>3</v>
      </c>
      <c r="M8" s="30">
        <v>5</v>
      </c>
      <c r="N8" s="30">
        <v>5</v>
      </c>
      <c r="O8" s="30">
        <v>5</v>
      </c>
      <c r="P8" s="30"/>
      <c r="Q8" s="31">
        <v>19</v>
      </c>
      <c r="R8" s="32">
        <v>0</v>
      </c>
      <c r="S8" s="31"/>
      <c r="T8" s="32"/>
      <c r="U8" s="33">
        <v>5</v>
      </c>
      <c r="V8" s="27" t="s">
        <v>31</v>
      </c>
      <c r="W8" s="15"/>
      <c r="Z8" s="35" t="s">
        <v>37</v>
      </c>
    </row>
    <row r="9" spans="1:26" ht="11.25" customHeight="1">
      <c r="A9" s="15">
        <v>7</v>
      </c>
      <c r="B9" s="34" t="s">
        <v>38</v>
      </c>
      <c r="C9" s="29">
        <v>4</v>
      </c>
      <c r="D9" s="30">
        <v>3</v>
      </c>
      <c r="E9" s="30">
        <v>4</v>
      </c>
      <c r="F9" s="30">
        <v>5</v>
      </c>
      <c r="G9" s="30">
        <v>2</v>
      </c>
      <c r="H9" s="30">
        <v>4</v>
      </c>
      <c r="I9" s="30">
        <v>3</v>
      </c>
      <c r="J9" s="30">
        <v>2</v>
      </c>
      <c r="K9" s="30">
        <v>3</v>
      </c>
      <c r="L9" s="30">
        <v>2</v>
      </c>
      <c r="M9" s="30">
        <v>5</v>
      </c>
      <c r="N9" s="30">
        <v>4</v>
      </c>
      <c r="O9" s="30">
        <v>2</v>
      </c>
      <c r="P9" s="30">
        <v>1</v>
      </c>
      <c r="Q9" s="31">
        <v>97</v>
      </c>
      <c r="R9" s="32">
        <v>7</v>
      </c>
      <c r="S9" s="31"/>
      <c r="T9" s="32"/>
      <c r="U9" s="33">
        <v>5</v>
      </c>
      <c r="V9" s="27" t="s">
        <v>30</v>
      </c>
      <c r="W9" s="15"/>
      <c r="Z9" s="35" t="s">
        <v>39</v>
      </c>
    </row>
    <row r="10" spans="1:26" ht="11.25" customHeight="1">
      <c r="A10" s="15">
        <v>8</v>
      </c>
      <c r="B10" s="34" t="s">
        <v>40</v>
      </c>
      <c r="C10" s="29">
        <v>5</v>
      </c>
      <c r="D10" s="30">
        <v>4</v>
      </c>
      <c r="E10" s="30">
        <v>5</v>
      </c>
      <c r="F10" s="30">
        <v>5</v>
      </c>
      <c r="G10" s="30">
        <v>4</v>
      </c>
      <c r="H10" s="30">
        <v>5</v>
      </c>
      <c r="I10" s="30">
        <v>4</v>
      </c>
      <c r="J10" s="30">
        <v>3</v>
      </c>
      <c r="K10" s="30">
        <v>4</v>
      </c>
      <c r="L10" s="30">
        <v>4</v>
      </c>
      <c r="M10" s="30">
        <v>5</v>
      </c>
      <c r="N10" s="30">
        <v>5</v>
      </c>
      <c r="O10" s="30"/>
      <c r="P10" s="30"/>
      <c r="Q10" s="31">
        <v>68</v>
      </c>
      <c r="R10" s="32">
        <v>4</v>
      </c>
      <c r="S10" s="31"/>
      <c r="T10" s="32"/>
      <c r="U10" s="33">
        <v>5</v>
      </c>
      <c r="V10" s="27" t="s">
        <v>30</v>
      </c>
      <c r="W10" s="15"/>
      <c r="Z10" s="35" t="s">
        <v>41</v>
      </c>
    </row>
    <row r="11" spans="1:26" ht="11.25" customHeight="1">
      <c r="A11" s="15">
        <v>9</v>
      </c>
      <c r="B11" s="34" t="s">
        <v>42</v>
      </c>
      <c r="C11" s="29">
        <v>5</v>
      </c>
      <c r="D11" s="30">
        <v>5</v>
      </c>
      <c r="E11" s="30">
        <v>5</v>
      </c>
      <c r="F11" s="30">
        <v>5</v>
      </c>
      <c r="G11" s="30">
        <v>5</v>
      </c>
      <c r="H11" s="30">
        <v>5</v>
      </c>
      <c r="I11" s="30">
        <v>5</v>
      </c>
      <c r="J11" s="30">
        <v>5</v>
      </c>
      <c r="K11" s="30">
        <v>5</v>
      </c>
      <c r="L11" s="30">
        <v>5</v>
      </c>
      <c r="M11" s="30">
        <v>5</v>
      </c>
      <c r="N11" s="30">
        <v>5</v>
      </c>
      <c r="O11" s="30"/>
      <c r="P11" s="30">
        <v>5</v>
      </c>
      <c r="Q11" s="31">
        <v>60</v>
      </c>
      <c r="R11" s="32">
        <v>1</v>
      </c>
      <c r="S11" s="31"/>
      <c r="T11" s="32"/>
      <c r="U11" s="33">
        <v>5</v>
      </c>
      <c r="V11" s="27" t="s">
        <v>30</v>
      </c>
      <c r="W11" s="15"/>
      <c r="Z11" s="35" t="s">
        <v>43</v>
      </c>
    </row>
    <row r="12" spans="1:26" ht="11.25" customHeight="1">
      <c r="A12" s="15">
        <v>10</v>
      </c>
      <c r="B12" s="34" t="s">
        <v>44</v>
      </c>
      <c r="C12" s="29">
        <v>4</v>
      </c>
      <c r="D12" s="30">
        <v>4</v>
      </c>
      <c r="E12" s="30">
        <v>5</v>
      </c>
      <c r="F12" s="30">
        <v>5</v>
      </c>
      <c r="G12" s="30">
        <v>3</v>
      </c>
      <c r="H12" s="30">
        <v>5</v>
      </c>
      <c r="I12" s="30">
        <v>2</v>
      </c>
      <c r="J12" s="30">
        <v>2</v>
      </c>
      <c r="K12" s="30">
        <v>3</v>
      </c>
      <c r="L12" s="30">
        <v>2</v>
      </c>
      <c r="M12" s="30">
        <v>5</v>
      </c>
      <c r="N12" s="30">
        <v>5</v>
      </c>
      <c r="O12" s="30">
        <v>4</v>
      </c>
      <c r="P12" s="30">
        <v>2</v>
      </c>
      <c r="Q12" s="31">
        <v>55</v>
      </c>
      <c r="R12" s="32">
        <v>0</v>
      </c>
      <c r="S12" s="31"/>
      <c r="T12" s="32"/>
      <c r="U12" s="33">
        <v>5</v>
      </c>
      <c r="V12" s="27" t="s">
        <v>31</v>
      </c>
      <c r="W12" s="15"/>
      <c r="Z12" s="35" t="s">
        <v>45</v>
      </c>
    </row>
    <row r="13" spans="1:26" ht="11.25" customHeight="1">
      <c r="A13" s="15">
        <v>11</v>
      </c>
      <c r="B13" s="34" t="s">
        <v>46</v>
      </c>
      <c r="C13" s="29">
        <v>2</v>
      </c>
      <c r="D13" s="30">
        <v>2</v>
      </c>
      <c r="E13" s="30">
        <v>4</v>
      </c>
      <c r="F13" s="30">
        <v>3</v>
      </c>
      <c r="G13" s="30">
        <v>2</v>
      </c>
      <c r="H13" s="30">
        <v>3</v>
      </c>
      <c r="I13" s="30">
        <v>1</v>
      </c>
      <c r="J13" s="30">
        <v>1</v>
      </c>
      <c r="K13" s="30">
        <v>2</v>
      </c>
      <c r="L13" s="30">
        <v>2</v>
      </c>
      <c r="M13" s="30">
        <v>3</v>
      </c>
      <c r="N13" s="30">
        <v>4</v>
      </c>
      <c r="O13" s="30"/>
      <c r="P13" s="30"/>
      <c r="Q13" s="31">
        <v>30</v>
      </c>
      <c r="R13" s="32">
        <v>13</v>
      </c>
      <c r="S13" s="31"/>
      <c r="T13" s="32"/>
      <c r="U13" s="33">
        <v>4</v>
      </c>
      <c r="V13" s="27" t="s">
        <v>30</v>
      </c>
      <c r="W13" s="15"/>
      <c r="Z13" s="35" t="s">
        <v>47</v>
      </c>
    </row>
    <row r="14" spans="1:26" ht="11.25" customHeight="1">
      <c r="A14" s="15">
        <v>12</v>
      </c>
      <c r="B14" s="34" t="s">
        <v>48</v>
      </c>
      <c r="C14" s="29">
        <v>5</v>
      </c>
      <c r="D14" s="30">
        <v>5</v>
      </c>
      <c r="E14" s="30">
        <v>5</v>
      </c>
      <c r="F14" s="30">
        <v>5</v>
      </c>
      <c r="G14" s="30">
        <v>5</v>
      </c>
      <c r="H14" s="30">
        <v>5</v>
      </c>
      <c r="I14" s="30">
        <v>4</v>
      </c>
      <c r="J14" s="30">
        <v>5</v>
      </c>
      <c r="K14" s="30">
        <v>5</v>
      </c>
      <c r="L14" s="30">
        <v>5</v>
      </c>
      <c r="M14" s="30">
        <v>5</v>
      </c>
      <c r="N14" s="30">
        <v>5</v>
      </c>
      <c r="O14" s="30">
        <v>5</v>
      </c>
      <c r="P14" s="30">
        <v>5</v>
      </c>
      <c r="Q14" s="31">
        <v>50</v>
      </c>
      <c r="R14" s="32">
        <v>4</v>
      </c>
      <c r="S14" s="31"/>
      <c r="T14" s="32"/>
      <c r="U14" s="33">
        <v>5</v>
      </c>
      <c r="V14" s="27" t="s">
        <v>30</v>
      </c>
      <c r="W14" s="15"/>
      <c r="Z14" s="35" t="s">
        <v>5</v>
      </c>
    </row>
    <row r="15" spans="1:26" ht="11.25" customHeight="1">
      <c r="A15" s="15">
        <v>13</v>
      </c>
      <c r="B15" s="34" t="s">
        <v>49</v>
      </c>
      <c r="C15" s="29">
        <v>5</v>
      </c>
      <c r="D15" s="30">
        <v>4</v>
      </c>
      <c r="E15" s="30">
        <v>5</v>
      </c>
      <c r="F15" s="30">
        <v>5</v>
      </c>
      <c r="G15" s="30">
        <v>4</v>
      </c>
      <c r="H15" s="30">
        <v>5</v>
      </c>
      <c r="I15" s="30">
        <v>3</v>
      </c>
      <c r="J15" s="30">
        <v>3</v>
      </c>
      <c r="K15" s="30">
        <v>5</v>
      </c>
      <c r="L15" s="30">
        <v>3</v>
      </c>
      <c r="M15" s="30">
        <v>5</v>
      </c>
      <c r="N15" s="30">
        <v>5</v>
      </c>
      <c r="O15" s="30">
        <v>5</v>
      </c>
      <c r="P15" s="30"/>
      <c r="Q15" s="31">
        <v>27</v>
      </c>
      <c r="R15" s="32">
        <v>0</v>
      </c>
      <c r="S15" s="31"/>
      <c r="T15" s="32"/>
      <c r="U15" s="33">
        <v>5</v>
      </c>
      <c r="V15" s="27" t="s">
        <v>31</v>
      </c>
      <c r="W15" s="15"/>
      <c r="Z15" s="35" t="s">
        <v>6</v>
      </c>
    </row>
    <row r="16" spans="1:26" ht="11.25" customHeight="1">
      <c r="A16" s="15">
        <v>14</v>
      </c>
      <c r="B16" s="28" t="s">
        <v>50</v>
      </c>
      <c r="C16" s="29">
        <v>5</v>
      </c>
      <c r="D16" s="30">
        <v>5</v>
      </c>
      <c r="E16" s="30">
        <v>5</v>
      </c>
      <c r="F16" s="30">
        <v>5</v>
      </c>
      <c r="G16" s="30">
        <v>3</v>
      </c>
      <c r="H16" s="30">
        <v>4</v>
      </c>
      <c r="I16" s="30">
        <v>3</v>
      </c>
      <c r="J16" s="30">
        <v>4</v>
      </c>
      <c r="K16" s="30">
        <v>5</v>
      </c>
      <c r="L16" s="30">
        <v>4</v>
      </c>
      <c r="M16" s="30">
        <v>5</v>
      </c>
      <c r="N16" s="30">
        <v>4</v>
      </c>
      <c r="O16" s="30"/>
      <c r="P16" s="30"/>
      <c r="Q16" s="31">
        <v>50</v>
      </c>
      <c r="R16" s="32">
        <v>5</v>
      </c>
      <c r="S16" s="31"/>
      <c r="T16" s="32"/>
      <c r="U16" s="33">
        <v>5</v>
      </c>
      <c r="V16" s="27" t="s">
        <v>30</v>
      </c>
      <c r="W16" s="15"/>
      <c r="Z16" s="35" t="s">
        <v>51</v>
      </c>
    </row>
    <row r="17" spans="1:26" ht="11.25" customHeight="1">
      <c r="A17" s="15">
        <v>15</v>
      </c>
      <c r="B17" s="34" t="s">
        <v>52</v>
      </c>
      <c r="C17" s="29">
        <v>1</v>
      </c>
      <c r="D17" s="30">
        <v>3</v>
      </c>
      <c r="E17" s="30">
        <v>4</v>
      </c>
      <c r="F17" s="30">
        <v>4</v>
      </c>
      <c r="G17" s="30">
        <v>2</v>
      </c>
      <c r="H17" s="30">
        <v>3</v>
      </c>
      <c r="I17" s="30">
        <v>1</v>
      </c>
      <c r="J17" s="30">
        <v>1</v>
      </c>
      <c r="K17" s="30">
        <v>3</v>
      </c>
      <c r="L17" s="30">
        <v>2</v>
      </c>
      <c r="M17" s="30">
        <v>3</v>
      </c>
      <c r="N17" s="30">
        <v>5</v>
      </c>
      <c r="O17" s="30">
        <v>5</v>
      </c>
      <c r="P17" s="30"/>
      <c r="Q17" s="31">
        <v>62</v>
      </c>
      <c r="R17" s="32">
        <v>8</v>
      </c>
      <c r="S17" s="31"/>
      <c r="T17" s="32"/>
      <c r="U17" s="33">
        <v>4</v>
      </c>
      <c r="V17" s="27" t="s">
        <v>31</v>
      </c>
      <c r="W17" s="15"/>
      <c r="Z17" s="35" t="s">
        <v>53</v>
      </c>
    </row>
    <row r="18" spans="1:26" ht="11.25" customHeight="1">
      <c r="A18" s="15">
        <v>16</v>
      </c>
      <c r="B18" s="34" t="s">
        <v>54</v>
      </c>
      <c r="C18" s="29">
        <v>5</v>
      </c>
      <c r="D18" s="30">
        <v>4</v>
      </c>
      <c r="E18" s="30">
        <v>5</v>
      </c>
      <c r="F18" s="30">
        <v>5</v>
      </c>
      <c r="G18" s="30">
        <v>5</v>
      </c>
      <c r="H18" s="30">
        <v>5</v>
      </c>
      <c r="I18" s="30">
        <v>5</v>
      </c>
      <c r="J18" s="30">
        <v>5</v>
      </c>
      <c r="K18" s="30">
        <v>5</v>
      </c>
      <c r="L18" s="30">
        <v>5</v>
      </c>
      <c r="M18" s="30">
        <v>5</v>
      </c>
      <c r="N18" s="30">
        <v>5</v>
      </c>
      <c r="O18" s="30">
        <v>5</v>
      </c>
      <c r="P18" s="30">
        <v>4</v>
      </c>
      <c r="Q18" s="31">
        <v>59</v>
      </c>
      <c r="R18" s="32">
        <v>0</v>
      </c>
      <c r="S18" s="31"/>
      <c r="T18" s="32"/>
      <c r="U18" s="33">
        <v>5</v>
      </c>
      <c r="V18" s="27" t="s">
        <v>30</v>
      </c>
      <c r="W18" s="15"/>
      <c r="Z18" s="35" t="s">
        <v>55</v>
      </c>
    </row>
    <row r="19" spans="1:26" ht="11.25" customHeight="1">
      <c r="A19" s="15">
        <v>17</v>
      </c>
      <c r="B19" s="34" t="s">
        <v>56</v>
      </c>
      <c r="C19" s="29">
        <v>4</v>
      </c>
      <c r="D19" s="30">
        <v>5</v>
      </c>
      <c r="E19" s="30">
        <v>5</v>
      </c>
      <c r="F19" s="30">
        <v>5</v>
      </c>
      <c r="G19" s="30">
        <v>4</v>
      </c>
      <c r="H19" s="30">
        <v>5</v>
      </c>
      <c r="I19" s="30">
        <v>3</v>
      </c>
      <c r="J19" s="30">
        <v>2</v>
      </c>
      <c r="K19" s="30">
        <v>4</v>
      </c>
      <c r="L19" s="30">
        <v>3</v>
      </c>
      <c r="M19" s="30">
        <v>5</v>
      </c>
      <c r="N19" s="30">
        <v>5</v>
      </c>
      <c r="O19" s="30"/>
      <c r="P19" s="30"/>
      <c r="Q19" s="31">
        <v>54</v>
      </c>
      <c r="R19" s="32">
        <v>0</v>
      </c>
      <c r="S19" s="31"/>
      <c r="T19" s="32"/>
      <c r="U19" s="33">
        <v>5</v>
      </c>
      <c r="V19" s="27" t="s">
        <v>31</v>
      </c>
      <c r="W19" s="15"/>
      <c r="Z19" s="35" t="s">
        <v>57</v>
      </c>
    </row>
    <row r="20" spans="1:26" ht="11.25" customHeight="1">
      <c r="A20" s="15">
        <v>18</v>
      </c>
      <c r="B20" s="34" t="s">
        <v>58</v>
      </c>
      <c r="C20" s="29">
        <v>5</v>
      </c>
      <c r="D20" s="30">
        <v>5</v>
      </c>
      <c r="E20" s="30">
        <v>5</v>
      </c>
      <c r="F20" s="30">
        <v>5</v>
      </c>
      <c r="G20" s="30">
        <v>5</v>
      </c>
      <c r="H20" s="30">
        <v>5</v>
      </c>
      <c r="I20" s="30">
        <v>5</v>
      </c>
      <c r="J20" s="30">
        <v>5</v>
      </c>
      <c r="K20" s="30">
        <v>5</v>
      </c>
      <c r="L20" s="30">
        <v>5</v>
      </c>
      <c r="M20" s="30">
        <v>5</v>
      </c>
      <c r="N20" s="30">
        <v>5</v>
      </c>
      <c r="O20" s="30">
        <v>5</v>
      </c>
      <c r="P20" s="30">
        <v>5</v>
      </c>
      <c r="Q20" s="31">
        <v>12</v>
      </c>
      <c r="R20" s="32">
        <v>0</v>
      </c>
      <c r="S20" s="31"/>
      <c r="T20" s="32"/>
      <c r="U20" s="33">
        <v>5</v>
      </c>
      <c r="V20" s="27" t="s">
        <v>30</v>
      </c>
      <c r="W20" s="15"/>
      <c r="Z20" s="35" t="s">
        <v>59</v>
      </c>
    </row>
    <row r="21" spans="1:26" ht="11.25" customHeight="1">
      <c r="A21" s="15">
        <v>19</v>
      </c>
      <c r="B21" s="34" t="s">
        <v>60</v>
      </c>
      <c r="C21" s="29">
        <v>3</v>
      </c>
      <c r="D21" s="30">
        <v>2</v>
      </c>
      <c r="E21" s="30">
        <v>5</v>
      </c>
      <c r="F21" s="30">
        <v>4</v>
      </c>
      <c r="G21" s="30">
        <v>2</v>
      </c>
      <c r="H21" s="30">
        <v>3</v>
      </c>
      <c r="I21" s="30">
        <v>1</v>
      </c>
      <c r="J21" s="30">
        <v>1</v>
      </c>
      <c r="K21" s="30">
        <v>3</v>
      </c>
      <c r="L21" s="30">
        <v>2</v>
      </c>
      <c r="M21" s="30">
        <v>4</v>
      </c>
      <c r="N21" s="30">
        <v>5</v>
      </c>
      <c r="O21" s="30"/>
      <c r="P21" s="30"/>
      <c r="Q21" s="31">
        <v>2</v>
      </c>
      <c r="R21" s="32">
        <v>10</v>
      </c>
      <c r="S21" s="31"/>
      <c r="T21" s="32"/>
      <c r="U21" s="33">
        <v>4</v>
      </c>
      <c r="V21" s="27" t="s">
        <v>31</v>
      </c>
      <c r="W21" s="15"/>
      <c r="Z21" s="35" t="s">
        <v>61</v>
      </c>
    </row>
    <row r="22" spans="1:26" ht="11.25" customHeight="1">
      <c r="A22" s="15">
        <v>20</v>
      </c>
      <c r="B22" s="34" t="s">
        <v>62</v>
      </c>
      <c r="C22" s="29">
        <v>3</v>
      </c>
      <c r="D22" s="30">
        <v>2</v>
      </c>
      <c r="E22" s="30">
        <v>5</v>
      </c>
      <c r="F22" s="30">
        <v>5</v>
      </c>
      <c r="G22" s="30">
        <v>3</v>
      </c>
      <c r="H22" s="30">
        <v>5</v>
      </c>
      <c r="I22" s="30">
        <v>2</v>
      </c>
      <c r="J22" s="30">
        <v>2</v>
      </c>
      <c r="K22" s="30">
        <v>4</v>
      </c>
      <c r="L22" s="30">
        <v>3</v>
      </c>
      <c r="M22" s="30">
        <v>5</v>
      </c>
      <c r="N22" s="30">
        <v>5</v>
      </c>
      <c r="O22" s="30">
        <v>5</v>
      </c>
      <c r="P22" s="30"/>
      <c r="Q22" s="31">
        <v>9</v>
      </c>
      <c r="R22" s="32">
        <v>0</v>
      </c>
      <c r="S22" s="31"/>
      <c r="T22" s="32"/>
      <c r="U22" s="33">
        <v>5</v>
      </c>
      <c r="V22" s="27" t="s">
        <v>31</v>
      </c>
      <c r="W22" s="15"/>
      <c r="Z22" s="35" t="s">
        <v>63</v>
      </c>
    </row>
    <row r="23" spans="1:26" ht="11.25" customHeight="1">
      <c r="A23" s="15">
        <v>21</v>
      </c>
      <c r="B23" s="34" t="s">
        <v>64</v>
      </c>
      <c r="C23" s="29">
        <v>3</v>
      </c>
      <c r="D23" s="30">
        <v>1</v>
      </c>
      <c r="E23" s="30">
        <v>5</v>
      </c>
      <c r="F23" s="30">
        <v>5</v>
      </c>
      <c r="G23" s="30">
        <v>1</v>
      </c>
      <c r="H23" s="30">
        <v>3</v>
      </c>
      <c r="I23" s="30">
        <v>2</v>
      </c>
      <c r="J23" s="30">
        <v>1</v>
      </c>
      <c r="K23" s="30">
        <v>2</v>
      </c>
      <c r="L23" s="30">
        <v>2</v>
      </c>
      <c r="M23" s="30">
        <v>5</v>
      </c>
      <c r="N23" s="30">
        <v>5</v>
      </c>
      <c r="O23" s="30">
        <v>3</v>
      </c>
      <c r="P23" s="30"/>
      <c r="Q23" s="31">
        <v>23</v>
      </c>
      <c r="R23" s="32">
        <v>2</v>
      </c>
      <c r="S23" s="31"/>
      <c r="T23" s="32"/>
      <c r="U23" s="33">
        <v>5</v>
      </c>
      <c r="V23" s="27" t="s">
        <v>30</v>
      </c>
      <c r="W23" s="15"/>
      <c r="Z23" s="35" t="s">
        <v>65</v>
      </c>
    </row>
    <row r="24" spans="1:26" ht="11.25" customHeight="1">
      <c r="A24" s="15">
        <v>22</v>
      </c>
      <c r="B24" s="34" t="s">
        <v>66</v>
      </c>
      <c r="C24" s="29">
        <v>4</v>
      </c>
      <c r="D24" s="30">
        <v>2</v>
      </c>
      <c r="E24" s="30">
        <v>5</v>
      </c>
      <c r="F24" s="30">
        <v>5</v>
      </c>
      <c r="G24" s="30">
        <v>3</v>
      </c>
      <c r="H24" s="30">
        <v>5</v>
      </c>
      <c r="I24" s="30">
        <v>2</v>
      </c>
      <c r="J24" s="30">
        <v>3</v>
      </c>
      <c r="K24" s="30">
        <v>5</v>
      </c>
      <c r="L24" s="30">
        <v>3</v>
      </c>
      <c r="M24" s="30">
        <v>5</v>
      </c>
      <c r="N24" s="30">
        <v>5</v>
      </c>
      <c r="O24" s="30"/>
      <c r="P24" s="30">
        <v>4</v>
      </c>
      <c r="Q24" s="31">
        <v>33</v>
      </c>
      <c r="R24" s="32">
        <v>0</v>
      </c>
      <c r="S24" s="31"/>
      <c r="T24" s="32"/>
      <c r="U24" s="33">
        <v>5</v>
      </c>
      <c r="V24" s="27" t="s">
        <v>30</v>
      </c>
      <c r="W24" s="15"/>
      <c r="Z24" s="35" t="s">
        <v>67</v>
      </c>
    </row>
    <row r="25" spans="1:26" ht="11.25" customHeight="1">
      <c r="A25" s="15">
        <v>23</v>
      </c>
      <c r="B25" s="34"/>
      <c r="C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1"/>
      <c r="R25" s="32"/>
      <c r="S25" s="31"/>
      <c r="T25" s="32"/>
      <c r="U25" s="37"/>
      <c r="V25" s="27"/>
      <c r="W25" s="15"/>
      <c r="Z25" s="35" t="s">
        <v>68</v>
      </c>
    </row>
    <row r="26" spans="1:26" ht="11.25" customHeight="1">
      <c r="A26" s="15">
        <v>24</v>
      </c>
      <c r="B26" s="34"/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2"/>
      <c r="S26" s="31"/>
      <c r="T26" s="32"/>
      <c r="U26" s="37"/>
      <c r="V26" s="27"/>
      <c r="W26" s="15"/>
      <c r="Z26" s="35" t="s">
        <v>69</v>
      </c>
    </row>
    <row r="27" spans="1:26" ht="11.25" customHeight="1">
      <c r="A27" s="15">
        <v>25</v>
      </c>
      <c r="B27" s="28"/>
      <c r="C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1"/>
      <c r="R27" s="32"/>
      <c r="S27" s="31"/>
      <c r="T27" s="32"/>
      <c r="U27" s="37"/>
      <c r="V27" s="27"/>
      <c r="W27" s="15"/>
      <c r="Z27" s="35" t="s">
        <v>70</v>
      </c>
    </row>
    <row r="28" spans="1:26" ht="11.25" customHeight="1">
      <c r="A28" s="15">
        <v>26</v>
      </c>
      <c r="B28" s="34"/>
      <c r="C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1"/>
      <c r="R28" s="32"/>
      <c r="S28" s="31"/>
      <c r="T28" s="32"/>
      <c r="U28" s="37"/>
      <c r="V28" s="27"/>
      <c r="W28" s="15"/>
      <c r="Z28" s="35" t="s">
        <v>71</v>
      </c>
    </row>
    <row r="29" spans="1:26" ht="11.25" customHeight="1">
      <c r="A29" s="15">
        <v>27</v>
      </c>
      <c r="B29" s="34"/>
      <c r="C29" s="2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1"/>
      <c r="R29" s="32"/>
      <c r="S29" s="31"/>
      <c r="T29" s="32"/>
      <c r="U29" s="37"/>
      <c r="V29" s="27"/>
      <c r="W29" s="15"/>
      <c r="Z29" s="35" t="s">
        <v>72</v>
      </c>
    </row>
    <row r="30" spans="1:26" ht="11.25" customHeight="1">
      <c r="A30" s="15">
        <v>28</v>
      </c>
      <c r="B30" s="34"/>
      <c r="C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/>
      <c r="R30" s="32"/>
      <c r="S30" s="31"/>
      <c r="T30" s="32"/>
      <c r="U30" s="37"/>
      <c r="V30" s="27"/>
      <c r="W30" s="15"/>
      <c r="Z30" s="35" t="s">
        <v>73</v>
      </c>
    </row>
    <row r="31" spans="1:26" ht="11.25" customHeight="1">
      <c r="A31" s="15">
        <v>29</v>
      </c>
      <c r="B31" s="34"/>
      <c r="C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1"/>
      <c r="R31" s="32"/>
      <c r="S31" s="31"/>
      <c r="T31" s="32"/>
      <c r="U31" s="37"/>
      <c r="V31" s="27"/>
      <c r="W31" s="15"/>
      <c r="Z31" s="35" t="s">
        <v>74</v>
      </c>
    </row>
    <row r="32" spans="1:23" ht="11.25" customHeight="1">
      <c r="A32" s="15">
        <v>30</v>
      </c>
      <c r="B32" s="28"/>
      <c r="C32" s="2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1"/>
      <c r="R32" s="32"/>
      <c r="S32" s="31"/>
      <c r="T32" s="32"/>
      <c r="U32" s="37"/>
      <c r="V32" s="27"/>
      <c r="W32" s="15"/>
    </row>
    <row r="33" spans="1:23" ht="11.25" customHeight="1">
      <c r="A33" s="15">
        <v>31</v>
      </c>
      <c r="B33" s="34"/>
      <c r="C33" s="2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1"/>
      <c r="R33" s="32"/>
      <c r="S33" s="31"/>
      <c r="T33" s="32"/>
      <c r="U33" s="37"/>
      <c r="V33" s="27"/>
      <c r="W33" s="15"/>
    </row>
    <row r="34" spans="1:23" ht="11.25" customHeight="1">
      <c r="A34" s="15">
        <v>32</v>
      </c>
      <c r="B34" s="34"/>
      <c r="C34" s="2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1"/>
      <c r="R34" s="32"/>
      <c r="S34" s="31"/>
      <c r="T34" s="32"/>
      <c r="U34" s="37"/>
      <c r="V34" s="27"/>
      <c r="W34" s="15"/>
    </row>
    <row r="35" spans="1:23" ht="11.25" customHeight="1">
      <c r="A35" s="15">
        <v>33</v>
      </c>
      <c r="B35" s="34"/>
      <c r="C35" s="2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1"/>
      <c r="R35" s="32"/>
      <c r="S35" s="31"/>
      <c r="T35" s="32"/>
      <c r="U35" s="37"/>
      <c r="V35" s="27"/>
      <c r="W35" s="15"/>
    </row>
    <row r="36" spans="1:23" ht="11.25" customHeight="1">
      <c r="A36" s="15">
        <v>34</v>
      </c>
      <c r="B36" s="28"/>
      <c r="C36" s="2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1"/>
      <c r="R36" s="32"/>
      <c r="S36" s="31"/>
      <c r="T36" s="32"/>
      <c r="U36" s="37"/>
      <c r="V36" s="27"/>
      <c r="W36" s="15"/>
    </row>
    <row r="37" spans="1:23" ht="11.25" customHeight="1">
      <c r="A37" s="15">
        <v>35</v>
      </c>
      <c r="B37" s="34"/>
      <c r="C37" s="2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1"/>
      <c r="R37" s="32"/>
      <c r="S37" s="31"/>
      <c r="T37" s="32"/>
      <c r="U37" s="37"/>
      <c r="V37" s="27"/>
      <c r="W37" s="15"/>
    </row>
    <row r="38" spans="1:23" ht="11.25" customHeight="1">
      <c r="A38" s="15">
        <v>36</v>
      </c>
      <c r="B38" s="34"/>
      <c r="C38" s="2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1"/>
      <c r="R38" s="32"/>
      <c r="S38" s="31"/>
      <c r="T38" s="32"/>
      <c r="U38" s="37"/>
      <c r="V38" s="27"/>
      <c r="W38" s="15"/>
    </row>
    <row r="39" spans="1:23" ht="11.25" customHeight="1">
      <c r="A39" s="15">
        <v>37</v>
      </c>
      <c r="B39" s="34"/>
      <c r="C39" s="2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  <c r="R39" s="32"/>
      <c r="S39" s="31"/>
      <c r="T39" s="32"/>
      <c r="U39" s="37"/>
      <c r="V39" s="27"/>
      <c r="W39" s="15"/>
    </row>
    <row r="40" spans="1:23" ht="11.25" customHeight="1">
      <c r="A40" s="15">
        <v>38</v>
      </c>
      <c r="B40" s="34"/>
      <c r="C40" s="2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1"/>
      <c r="R40" s="32"/>
      <c r="S40" s="31"/>
      <c r="T40" s="32"/>
      <c r="U40" s="37"/>
      <c r="V40" s="27"/>
      <c r="W40" s="15"/>
    </row>
    <row r="41" spans="1:23" ht="11.25" customHeight="1">
      <c r="A41" s="15">
        <v>39</v>
      </c>
      <c r="B41" s="34"/>
      <c r="C41" s="2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1"/>
      <c r="R41" s="32"/>
      <c r="S41" s="31"/>
      <c r="T41" s="32"/>
      <c r="U41" s="37"/>
      <c r="V41" s="27"/>
      <c r="W41" s="15"/>
    </row>
    <row r="42" spans="1:23" ht="11.25" customHeight="1">
      <c r="A42" s="38">
        <v>40</v>
      </c>
      <c r="B42" s="34"/>
      <c r="C42" s="2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9"/>
      <c r="V42" s="27"/>
      <c r="W42" s="15"/>
    </row>
    <row r="43" spans="1:23" ht="10.5" customHeight="1">
      <c r="A43" s="40"/>
      <c r="B43" s="41"/>
      <c r="C43" s="42" t="s">
        <v>9</v>
      </c>
      <c r="D43" s="43" t="s">
        <v>10</v>
      </c>
      <c r="E43" s="43" t="s">
        <v>11</v>
      </c>
      <c r="F43" s="43" t="s">
        <v>12</v>
      </c>
      <c r="G43" s="44" t="s">
        <v>13</v>
      </c>
      <c r="H43" s="43" t="s">
        <v>14</v>
      </c>
      <c r="I43" s="43" t="s">
        <v>15</v>
      </c>
      <c r="J43" s="43" t="s">
        <v>16</v>
      </c>
      <c r="K43" s="43" t="s">
        <v>17</v>
      </c>
      <c r="L43" s="43" t="s">
        <v>18</v>
      </c>
      <c r="M43" s="43" t="s">
        <v>19</v>
      </c>
      <c r="N43" s="43" t="s">
        <v>20</v>
      </c>
      <c r="O43" s="43" t="s">
        <v>21</v>
      </c>
      <c r="P43" s="43" t="s">
        <v>22</v>
      </c>
      <c r="Q43" s="43" t="s">
        <v>23</v>
      </c>
      <c r="R43" s="43" t="s">
        <v>24</v>
      </c>
      <c r="S43" s="43" t="s">
        <v>25</v>
      </c>
      <c r="T43" s="43" t="s">
        <v>26</v>
      </c>
      <c r="U43" s="43" t="s">
        <v>27</v>
      </c>
      <c r="V43" s="45" t="s">
        <v>28</v>
      </c>
      <c r="W43" s="15"/>
    </row>
    <row r="44" spans="1:23" ht="15" customHeight="1">
      <c r="A44" s="46"/>
      <c r="B44" s="47"/>
      <c r="C44" s="48"/>
      <c r="D44" s="49"/>
      <c r="E44" s="15"/>
      <c r="F44" s="15"/>
      <c r="G44" s="5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</sheetData>
  <mergeCells count="4">
    <mergeCell ref="C1:D1"/>
    <mergeCell ref="F1:H1"/>
    <mergeCell ref="J1:L1"/>
    <mergeCell ref="N1:R1"/>
  </mergeCells>
  <dataValidations count="4">
    <dataValidation type="custom" allowBlank="1" showErrorMessage="1" errorTitle="Informacija" error="Pogresan simbol, mozete samo da upistete brojeve od 1-5 i slovo n." sqref="C3:P41 C42:U42">
      <formula1>OR(AND(C3&gt;0,C3&lt;6),C3="n")</formula1>
      <formula2>0</formula2>
    </dataValidation>
    <dataValidation type="list" allowBlank="1" showErrorMessage="1" sqref="M1">
      <formula1>$AA$3:$AA$5</formula1>
      <formula2>0</formula2>
    </dataValidation>
    <dataValidation type="list" allowBlank="1" showErrorMessage="1" sqref="S1:T1">
      <formula1>$Z$8:$Z$31</formula1>
      <formula2>0</formula2>
    </dataValidation>
    <dataValidation type="list" showErrorMessage="1" sqref="V3:V42">
      <formula1>$Z$2:$Z$4</formula1>
      <formula2>0</formula2>
    </dataValidation>
  </dataValidations>
  <hyperlinks>
    <hyperlink ref="W1" location="Pomoc!A1" display="?"/>
  </hyperlinks>
  <printOptions horizontalCentered="1"/>
  <pageMargins left="0.25" right="0.25" top="0.3902777777777778" bottom="0.5" header="0.5118055555555555" footer="0.5118055555555555"/>
  <pageSetup horizontalDpi="300" verticalDpi="300" orientation="landscape" pageOrder="overThenDown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4.28125" style="2" customWidth="1"/>
    <col min="2" max="2" width="22.7109375" style="2" customWidth="1"/>
    <col min="3" max="15" width="5.28125" style="2" customWidth="1"/>
    <col min="16" max="19" width="6.7109375" style="2" customWidth="1"/>
    <col min="20" max="21" width="5.7109375" style="2" customWidth="1"/>
    <col min="22" max="22" width="3.7109375" style="2" customWidth="1"/>
    <col min="23" max="23" width="3.57421875" style="2" customWidth="1"/>
    <col min="24" max="16384" width="9.00390625" style="2" customWidth="1"/>
  </cols>
  <sheetData>
    <row r="1" spans="1:23" ht="12">
      <c r="A1" s="4" t="s">
        <v>0</v>
      </c>
      <c r="B1" s="5"/>
      <c r="C1" s="6" t="s">
        <v>1</v>
      </c>
      <c r="D1" s="6"/>
      <c r="E1" s="7">
        <v>7</v>
      </c>
      <c r="F1" s="7" t="s">
        <v>2</v>
      </c>
      <c r="G1" s="7"/>
      <c r="H1" s="7"/>
      <c r="I1" s="7">
        <v>1</v>
      </c>
      <c r="J1" s="7" t="s">
        <v>3</v>
      </c>
      <c r="K1" s="7"/>
      <c r="L1" s="7"/>
      <c r="M1" s="8">
        <v>2</v>
      </c>
      <c r="N1" s="7" t="s">
        <v>4</v>
      </c>
      <c r="O1" s="7"/>
      <c r="P1" s="7"/>
      <c r="Q1" s="7"/>
      <c r="R1" s="7"/>
      <c r="S1" s="8" t="s">
        <v>47</v>
      </c>
      <c r="T1" s="8" t="s">
        <v>5</v>
      </c>
      <c r="U1" s="9"/>
      <c r="V1" s="10"/>
      <c r="W1" s="11" t="s">
        <v>7</v>
      </c>
    </row>
    <row r="2" spans="1:23" ht="12">
      <c r="A2" s="15"/>
      <c r="B2" s="16" t="s">
        <v>8</v>
      </c>
      <c r="C2" s="17" t="s">
        <v>9</v>
      </c>
      <c r="D2" s="18" t="s">
        <v>10</v>
      </c>
      <c r="E2" s="18" t="s">
        <v>11</v>
      </c>
      <c r="F2" s="18" t="s">
        <v>12</v>
      </c>
      <c r="G2" s="19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20" t="s">
        <v>28</v>
      </c>
      <c r="W2" s="15"/>
    </row>
    <row r="3" spans="1:23" ht="12">
      <c r="A3" s="15">
        <v>1</v>
      </c>
      <c r="B3" s="21" t="s">
        <v>29</v>
      </c>
      <c r="C3" s="22">
        <v>5</v>
      </c>
      <c r="D3" s="23">
        <v>5</v>
      </c>
      <c r="E3" s="23">
        <v>5</v>
      </c>
      <c r="F3" s="23">
        <v>5</v>
      </c>
      <c r="G3" s="23">
        <v>5</v>
      </c>
      <c r="H3" s="23">
        <v>5</v>
      </c>
      <c r="I3" s="23">
        <v>5</v>
      </c>
      <c r="J3" s="23">
        <v>5</v>
      </c>
      <c r="K3" s="23">
        <v>5</v>
      </c>
      <c r="L3" s="23">
        <v>5</v>
      </c>
      <c r="M3" s="23">
        <v>5</v>
      </c>
      <c r="N3" s="23">
        <v>5</v>
      </c>
      <c r="O3" s="23"/>
      <c r="P3" s="23">
        <v>5</v>
      </c>
      <c r="Q3" s="24">
        <v>5</v>
      </c>
      <c r="R3" s="25">
        <v>0</v>
      </c>
      <c r="S3" s="24">
        <v>8</v>
      </c>
      <c r="T3" s="25">
        <v>1</v>
      </c>
      <c r="U3" s="26">
        <v>5</v>
      </c>
      <c r="V3" s="27" t="s">
        <v>30</v>
      </c>
      <c r="W3" s="15"/>
    </row>
    <row r="4" spans="1:23" ht="12">
      <c r="A4" s="15">
        <v>2</v>
      </c>
      <c r="B4" s="28" t="s">
        <v>32</v>
      </c>
      <c r="C4" s="29">
        <v>3</v>
      </c>
      <c r="D4" s="30">
        <v>3</v>
      </c>
      <c r="E4" s="30">
        <v>4</v>
      </c>
      <c r="F4" s="30">
        <v>4</v>
      </c>
      <c r="G4" s="30">
        <v>3</v>
      </c>
      <c r="H4" s="30">
        <v>4</v>
      </c>
      <c r="I4" s="30">
        <v>2</v>
      </c>
      <c r="J4" s="30">
        <v>2</v>
      </c>
      <c r="K4" s="30">
        <v>4</v>
      </c>
      <c r="L4" s="30">
        <v>4</v>
      </c>
      <c r="M4" s="30">
        <v>5</v>
      </c>
      <c r="N4" s="30">
        <v>5</v>
      </c>
      <c r="O4" s="30"/>
      <c r="P4" s="30"/>
      <c r="Q4" s="31">
        <v>43</v>
      </c>
      <c r="R4" s="32">
        <v>3</v>
      </c>
      <c r="S4" s="31">
        <v>33</v>
      </c>
      <c r="T4" s="32">
        <v>9</v>
      </c>
      <c r="U4" s="33">
        <v>4</v>
      </c>
      <c r="V4" s="27" t="s">
        <v>31</v>
      </c>
      <c r="W4" s="15"/>
    </row>
    <row r="5" spans="1:23" ht="12">
      <c r="A5" s="15">
        <v>3</v>
      </c>
      <c r="B5" s="28" t="s">
        <v>33</v>
      </c>
      <c r="C5" s="29">
        <v>4</v>
      </c>
      <c r="D5" s="30">
        <v>4</v>
      </c>
      <c r="E5" s="30">
        <v>5</v>
      </c>
      <c r="F5" s="30">
        <v>5</v>
      </c>
      <c r="G5" s="30">
        <v>5</v>
      </c>
      <c r="H5" s="30">
        <v>5</v>
      </c>
      <c r="I5" s="30">
        <v>3</v>
      </c>
      <c r="J5" s="30">
        <v>5</v>
      </c>
      <c r="K5" s="30">
        <v>4</v>
      </c>
      <c r="L5" s="30">
        <v>5</v>
      </c>
      <c r="M5" s="30">
        <v>5</v>
      </c>
      <c r="N5" s="30">
        <v>5</v>
      </c>
      <c r="O5" s="30">
        <v>5</v>
      </c>
      <c r="P5" s="30">
        <v>4</v>
      </c>
      <c r="Q5" s="31">
        <v>44</v>
      </c>
      <c r="R5" s="32">
        <v>0</v>
      </c>
      <c r="S5" s="31">
        <v>117</v>
      </c>
      <c r="T5" s="32">
        <v>3</v>
      </c>
      <c r="U5" s="33">
        <v>5</v>
      </c>
      <c r="V5" s="27" t="s">
        <v>30</v>
      </c>
      <c r="W5" s="15"/>
    </row>
    <row r="6" spans="1:23" ht="12">
      <c r="A6" s="15">
        <v>4</v>
      </c>
      <c r="B6" s="34" t="s">
        <v>34</v>
      </c>
      <c r="C6" s="29">
        <v>5</v>
      </c>
      <c r="D6" s="30">
        <v>5</v>
      </c>
      <c r="E6" s="30">
        <v>5</v>
      </c>
      <c r="F6" s="30">
        <v>5</v>
      </c>
      <c r="G6" s="30">
        <v>5</v>
      </c>
      <c r="H6" s="30">
        <v>5</v>
      </c>
      <c r="I6" s="30">
        <v>5</v>
      </c>
      <c r="J6" s="30">
        <v>5</v>
      </c>
      <c r="K6" s="30">
        <v>5</v>
      </c>
      <c r="L6" s="30">
        <v>5</v>
      </c>
      <c r="M6" s="30">
        <v>5</v>
      </c>
      <c r="N6" s="30">
        <v>5</v>
      </c>
      <c r="O6" s="30">
        <v>5</v>
      </c>
      <c r="P6" s="30">
        <v>5</v>
      </c>
      <c r="Q6" s="31">
        <v>40</v>
      </c>
      <c r="R6" s="32">
        <v>0</v>
      </c>
      <c r="S6" s="31">
        <v>66</v>
      </c>
      <c r="T6" s="32">
        <v>0</v>
      </c>
      <c r="U6" s="33">
        <v>5</v>
      </c>
      <c r="V6" s="27" t="s">
        <v>30</v>
      </c>
      <c r="W6" s="15"/>
    </row>
    <row r="7" spans="1:23" ht="12">
      <c r="A7" s="15">
        <v>5</v>
      </c>
      <c r="B7" s="28" t="s">
        <v>35</v>
      </c>
      <c r="C7" s="29">
        <v>4</v>
      </c>
      <c r="D7" s="30">
        <v>4</v>
      </c>
      <c r="E7" s="30">
        <v>4</v>
      </c>
      <c r="F7" s="30">
        <v>5</v>
      </c>
      <c r="G7" s="30">
        <v>3</v>
      </c>
      <c r="H7" s="30">
        <v>4</v>
      </c>
      <c r="I7" s="30">
        <v>2</v>
      </c>
      <c r="J7" s="30">
        <v>3</v>
      </c>
      <c r="K7" s="30">
        <v>3</v>
      </c>
      <c r="L7" s="30">
        <v>4</v>
      </c>
      <c r="M7" s="30">
        <v>5</v>
      </c>
      <c r="N7" s="30">
        <v>5</v>
      </c>
      <c r="O7" s="30"/>
      <c r="P7" s="30">
        <v>2</v>
      </c>
      <c r="Q7" s="31">
        <v>24</v>
      </c>
      <c r="R7" s="32">
        <v>9</v>
      </c>
      <c r="S7" s="31">
        <v>48</v>
      </c>
      <c r="T7" s="32">
        <v>12</v>
      </c>
      <c r="U7" s="33">
        <v>3</v>
      </c>
      <c r="V7" s="27" t="s">
        <v>31</v>
      </c>
      <c r="W7" s="15"/>
    </row>
    <row r="8" spans="1:23" ht="12">
      <c r="A8" s="15">
        <v>6</v>
      </c>
      <c r="B8" s="34" t="s">
        <v>36</v>
      </c>
      <c r="C8" s="29">
        <v>4</v>
      </c>
      <c r="D8" s="30">
        <v>4</v>
      </c>
      <c r="E8" s="30">
        <v>5</v>
      </c>
      <c r="F8" s="30">
        <v>4</v>
      </c>
      <c r="G8" s="30">
        <v>4</v>
      </c>
      <c r="H8" s="30">
        <v>3</v>
      </c>
      <c r="I8" s="30">
        <v>2</v>
      </c>
      <c r="J8" s="30">
        <v>2</v>
      </c>
      <c r="K8" s="30">
        <v>4</v>
      </c>
      <c r="L8" s="30">
        <v>4</v>
      </c>
      <c r="M8" s="30">
        <v>5</v>
      </c>
      <c r="N8" s="30">
        <v>5</v>
      </c>
      <c r="O8" s="30">
        <v>5</v>
      </c>
      <c r="P8" s="30"/>
      <c r="Q8" s="31">
        <v>17</v>
      </c>
      <c r="R8" s="32">
        <v>0</v>
      </c>
      <c r="S8" s="31">
        <v>12</v>
      </c>
      <c r="T8" s="32">
        <v>2</v>
      </c>
      <c r="U8" s="33">
        <v>5</v>
      </c>
      <c r="V8" s="27" t="s">
        <v>31</v>
      </c>
      <c r="W8" s="15"/>
    </row>
    <row r="9" spans="1:23" ht="12">
      <c r="A9" s="15">
        <v>7</v>
      </c>
      <c r="B9" s="34" t="s">
        <v>38</v>
      </c>
      <c r="C9" s="29">
        <v>5</v>
      </c>
      <c r="D9" s="30">
        <v>4</v>
      </c>
      <c r="E9" s="30">
        <v>5</v>
      </c>
      <c r="F9" s="30">
        <v>5</v>
      </c>
      <c r="G9" s="30">
        <v>3</v>
      </c>
      <c r="H9" s="30">
        <v>3</v>
      </c>
      <c r="I9" s="30">
        <v>2</v>
      </c>
      <c r="J9" s="30">
        <v>2</v>
      </c>
      <c r="K9" s="30">
        <v>3</v>
      </c>
      <c r="L9" s="30">
        <v>4</v>
      </c>
      <c r="M9" s="30">
        <v>5</v>
      </c>
      <c r="N9" s="30">
        <v>5</v>
      </c>
      <c r="O9" s="30">
        <v>4</v>
      </c>
      <c r="P9" s="30">
        <v>2</v>
      </c>
      <c r="Q9" s="31">
        <v>81</v>
      </c>
      <c r="R9" s="32">
        <v>5</v>
      </c>
      <c r="S9" s="31">
        <v>87</v>
      </c>
      <c r="T9" s="32">
        <v>11</v>
      </c>
      <c r="U9" s="33">
        <v>4</v>
      </c>
      <c r="V9" s="27" t="s">
        <v>30</v>
      </c>
      <c r="W9" s="15"/>
    </row>
    <row r="10" spans="1:23" ht="12">
      <c r="A10" s="15">
        <v>8</v>
      </c>
      <c r="B10" s="34" t="s">
        <v>40</v>
      </c>
      <c r="C10" s="29">
        <v>5</v>
      </c>
      <c r="D10" s="30">
        <v>5</v>
      </c>
      <c r="E10" s="30">
        <v>5</v>
      </c>
      <c r="F10" s="30">
        <v>5</v>
      </c>
      <c r="G10" s="30">
        <v>5</v>
      </c>
      <c r="H10" s="30">
        <v>5</v>
      </c>
      <c r="I10" s="30">
        <v>5</v>
      </c>
      <c r="J10" s="30">
        <v>5</v>
      </c>
      <c r="K10" s="30">
        <v>5</v>
      </c>
      <c r="L10" s="30">
        <v>5</v>
      </c>
      <c r="M10" s="30">
        <v>5</v>
      </c>
      <c r="N10" s="30">
        <v>5</v>
      </c>
      <c r="O10" s="30"/>
      <c r="P10" s="30"/>
      <c r="Q10" s="31">
        <v>46</v>
      </c>
      <c r="R10" s="32">
        <v>0</v>
      </c>
      <c r="S10" s="31">
        <v>105</v>
      </c>
      <c r="T10" s="32">
        <v>2</v>
      </c>
      <c r="U10" s="33">
        <v>5</v>
      </c>
      <c r="V10" s="27" t="s">
        <v>30</v>
      </c>
      <c r="W10" s="15"/>
    </row>
    <row r="11" spans="1:23" ht="12">
      <c r="A11" s="15">
        <v>9</v>
      </c>
      <c r="B11" s="34" t="s">
        <v>42</v>
      </c>
      <c r="C11" s="29">
        <v>5</v>
      </c>
      <c r="D11" s="30">
        <v>5</v>
      </c>
      <c r="E11" s="30">
        <v>5</v>
      </c>
      <c r="F11" s="30">
        <v>5</v>
      </c>
      <c r="G11" s="30">
        <v>5</v>
      </c>
      <c r="H11" s="30">
        <v>5</v>
      </c>
      <c r="I11" s="30">
        <v>5</v>
      </c>
      <c r="J11" s="30">
        <v>5</v>
      </c>
      <c r="K11" s="30">
        <v>5</v>
      </c>
      <c r="L11" s="30">
        <v>5</v>
      </c>
      <c r="M11" s="30">
        <v>5</v>
      </c>
      <c r="N11" s="30">
        <v>5</v>
      </c>
      <c r="O11" s="30"/>
      <c r="P11" s="30">
        <v>5</v>
      </c>
      <c r="Q11" s="31">
        <v>53</v>
      </c>
      <c r="R11" s="32">
        <v>0</v>
      </c>
      <c r="S11" s="31">
        <v>56</v>
      </c>
      <c r="T11" s="32">
        <v>0</v>
      </c>
      <c r="U11" s="33">
        <v>5</v>
      </c>
      <c r="V11" s="27" t="s">
        <v>30</v>
      </c>
      <c r="W11" s="15"/>
    </row>
    <row r="12" spans="1:23" ht="12">
      <c r="A12" s="15">
        <v>10</v>
      </c>
      <c r="B12" s="34" t="s">
        <v>44</v>
      </c>
      <c r="C12" s="29">
        <v>5</v>
      </c>
      <c r="D12" s="30">
        <v>5</v>
      </c>
      <c r="E12" s="30">
        <v>5</v>
      </c>
      <c r="F12" s="30">
        <v>5</v>
      </c>
      <c r="G12" s="30">
        <v>5</v>
      </c>
      <c r="H12" s="30">
        <v>5</v>
      </c>
      <c r="I12" s="30">
        <v>3</v>
      </c>
      <c r="J12" s="30">
        <v>4</v>
      </c>
      <c r="K12" s="30">
        <v>5</v>
      </c>
      <c r="L12" s="30">
        <v>4</v>
      </c>
      <c r="M12" s="30">
        <v>5</v>
      </c>
      <c r="N12" s="30">
        <v>5</v>
      </c>
      <c r="O12" s="30">
        <v>5</v>
      </c>
      <c r="P12" s="30">
        <v>3</v>
      </c>
      <c r="Q12" s="31">
        <v>25</v>
      </c>
      <c r="R12" s="32">
        <v>0</v>
      </c>
      <c r="S12" s="31">
        <v>81</v>
      </c>
      <c r="T12" s="32">
        <v>1</v>
      </c>
      <c r="U12" s="33">
        <v>5</v>
      </c>
      <c r="V12" s="27" t="s">
        <v>31</v>
      </c>
      <c r="W12" s="15"/>
    </row>
    <row r="13" spans="1:23" ht="12">
      <c r="A13" s="15">
        <v>11</v>
      </c>
      <c r="B13" s="34" t="s">
        <v>46</v>
      </c>
      <c r="C13" s="29">
        <v>3</v>
      </c>
      <c r="D13" s="30">
        <v>2</v>
      </c>
      <c r="E13" s="30">
        <v>4</v>
      </c>
      <c r="F13" s="30">
        <v>3</v>
      </c>
      <c r="G13" s="30">
        <v>2</v>
      </c>
      <c r="H13" s="30">
        <v>3</v>
      </c>
      <c r="I13" s="30">
        <v>2</v>
      </c>
      <c r="J13" s="30">
        <v>2</v>
      </c>
      <c r="K13" s="30">
        <v>3</v>
      </c>
      <c r="L13" s="30">
        <v>2</v>
      </c>
      <c r="M13" s="30">
        <v>5</v>
      </c>
      <c r="N13" s="30">
        <v>5</v>
      </c>
      <c r="O13" s="30"/>
      <c r="P13" s="30"/>
      <c r="Q13" s="31">
        <v>34</v>
      </c>
      <c r="R13" s="32">
        <v>0</v>
      </c>
      <c r="S13" s="31">
        <v>42</v>
      </c>
      <c r="T13" s="32">
        <v>13</v>
      </c>
      <c r="U13" s="33">
        <v>1</v>
      </c>
      <c r="V13" s="27" t="s">
        <v>30</v>
      </c>
      <c r="W13" s="15"/>
    </row>
    <row r="14" spans="1:23" ht="12">
      <c r="A14" s="15">
        <v>12</v>
      </c>
      <c r="B14" s="34" t="s">
        <v>48</v>
      </c>
      <c r="C14" s="29">
        <v>5</v>
      </c>
      <c r="D14" s="30">
        <v>5</v>
      </c>
      <c r="E14" s="30">
        <v>5</v>
      </c>
      <c r="F14" s="30">
        <v>5</v>
      </c>
      <c r="G14" s="30">
        <v>5</v>
      </c>
      <c r="H14" s="30">
        <v>5</v>
      </c>
      <c r="I14" s="30">
        <v>5</v>
      </c>
      <c r="J14" s="30">
        <v>5</v>
      </c>
      <c r="K14" s="30">
        <v>5</v>
      </c>
      <c r="L14" s="30">
        <v>5</v>
      </c>
      <c r="M14" s="30">
        <v>5</v>
      </c>
      <c r="N14" s="30">
        <v>5</v>
      </c>
      <c r="O14" s="30">
        <v>5</v>
      </c>
      <c r="P14" s="30">
        <v>5</v>
      </c>
      <c r="Q14" s="31">
        <v>29</v>
      </c>
      <c r="R14" s="32">
        <v>1</v>
      </c>
      <c r="S14" s="31">
        <v>73</v>
      </c>
      <c r="T14" s="32">
        <v>2</v>
      </c>
      <c r="U14" s="33">
        <v>5</v>
      </c>
      <c r="V14" s="27" t="s">
        <v>30</v>
      </c>
      <c r="W14" s="15"/>
    </row>
    <row r="15" spans="1:23" ht="12">
      <c r="A15" s="15">
        <v>13</v>
      </c>
      <c r="B15" s="34" t="s">
        <v>49</v>
      </c>
      <c r="C15" s="29">
        <v>4</v>
      </c>
      <c r="D15" s="30">
        <v>4</v>
      </c>
      <c r="E15" s="30">
        <v>5</v>
      </c>
      <c r="F15" s="30">
        <v>4</v>
      </c>
      <c r="G15" s="30">
        <v>4</v>
      </c>
      <c r="H15" s="30">
        <v>4</v>
      </c>
      <c r="I15" s="30">
        <v>4</v>
      </c>
      <c r="J15" s="30">
        <v>4</v>
      </c>
      <c r="K15" s="30">
        <v>5</v>
      </c>
      <c r="L15" s="30">
        <v>4</v>
      </c>
      <c r="M15" s="30">
        <v>5</v>
      </c>
      <c r="N15" s="30">
        <v>5</v>
      </c>
      <c r="O15" s="30">
        <v>5</v>
      </c>
      <c r="P15" s="30"/>
      <c r="Q15" s="31">
        <v>5</v>
      </c>
      <c r="R15" s="32">
        <v>0</v>
      </c>
      <c r="S15" s="31">
        <v>54</v>
      </c>
      <c r="T15" s="32">
        <v>1</v>
      </c>
      <c r="U15" s="33">
        <v>5</v>
      </c>
      <c r="V15" s="27" t="s">
        <v>31</v>
      </c>
      <c r="W15" s="15"/>
    </row>
    <row r="16" spans="1:23" ht="12">
      <c r="A16" s="15">
        <v>14</v>
      </c>
      <c r="B16" s="28" t="s">
        <v>50</v>
      </c>
      <c r="C16" s="29">
        <v>5</v>
      </c>
      <c r="D16" s="30">
        <v>5</v>
      </c>
      <c r="E16" s="30">
        <v>5</v>
      </c>
      <c r="F16" s="30">
        <v>5</v>
      </c>
      <c r="G16" s="30">
        <v>5</v>
      </c>
      <c r="H16" s="30">
        <v>5</v>
      </c>
      <c r="I16" s="30">
        <v>3</v>
      </c>
      <c r="J16" s="30">
        <v>4</v>
      </c>
      <c r="K16" s="30">
        <v>5</v>
      </c>
      <c r="L16" s="30">
        <v>4</v>
      </c>
      <c r="M16" s="30">
        <v>5</v>
      </c>
      <c r="N16" s="30">
        <v>5</v>
      </c>
      <c r="O16" s="30"/>
      <c r="P16" s="30"/>
      <c r="Q16" s="31">
        <v>34</v>
      </c>
      <c r="R16" s="32">
        <v>1</v>
      </c>
      <c r="S16" s="31">
        <v>58</v>
      </c>
      <c r="T16" s="32">
        <v>1</v>
      </c>
      <c r="U16" s="33">
        <v>5</v>
      </c>
      <c r="V16" s="27" t="s">
        <v>30</v>
      </c>
      <c r="W16" s="15"/>
    </row>
    <row r="17" spans="1:23" ht="12">
      <c r="A17" s="15">
        <v>15</v>
      </c>
      <c r="B17" s="34" t="s">
        <v>52</v>
      </c>
      <c r="C17" s="29">
        <v>4</v>
      </c>
      <c r="D17" s="30">
        <v>5</v>
      </c>
      <c r="E17" s="30">
        <v>4</v>
      </c>
      <c r="F17" s="30">
        <v>4</v>
      </c>
      <c r="G17" s="30">
        <v>3</v>
      </c>
      <c r="H17" s="30">
        <v>3</v>
      </c>
      <c r="I17" s="30">
        <v>2</v>
      </c>
      <c r="J17" s="30">
        <v>2</v>
      </c>
      <c r="K17" s="30">
        <v>3</v>
      </c>
      <c r="L17" s="30">
        <v>3</v>
      </c>
      <c r="M17" s="30">
        <v>5</v>
      </c>
      <c r="N17" s="30">
        <v>5</v>
      </c>
      <c r="O17" s="30">
        <v>3</v>
      </c>
      <c r="P17" s="30"/>
      <c r="Q17" s="31">
        <v>38</v>
      </c>
      <c r="R17" s="32">
        <v>0</v>
      </c>
      <c r="S17" s="31">
        <v>55</v>
      </c>
      <c r="T17" s="32">
        <v>1</v>
      </c>
      <c r="U17" s="33">
        <v>5</v>
      </c>
      <c r="V17" s="27" t="s">
        <v>31</v>
      </c>
      <c r="W17" s="15"/>
    </row>
    <row r="18" spans="1:23" ht="12">
      <c r="A18" s="15">
        <v>16</v>
      </c>
      <c r="B18" s="34" t="s">
        <v>54</v>
      </c>
      <c r="C18" s="29">
        <v>5</v>
      </c>
      <c r="D18" s="30">
        <v>5</v>
      </c>
      <c r="E18" s="30">
        <v>5</v>
      </c>
      <c r="F18" s="30">
        <v>5</v>
      </c>
      <c r="G18" s="30">
        <v>5</v>
      </c>
      <c r="H18" s="30">
        <v>5</v>
      </c>
      <c r="I18" s="30">
        <v>5</v>
      </c>
      <c r="J18" s="30">
        <v>5</v>
      </c>
      <c r="K18" s="30">
        <v>5</v>
      </c>
      <c r="L18" s="30">
        <v>5</v>
      </c>
      <c r="M18" s="30">
        <v>5</v>
      </c>
      <c r="N18" s="30">
        <v>5</v>
      </c>
      <c r="O18" s="30">
        <v>5</v>
      </c>
      <c r="P18" s="30">
        <v>5</v>
      </c>
      <c r="Q18" s="31">
        <v>15</v>
      </c>
      <c r="R18" s="32">
        <v>0</v>
      </c>
      <c r="S18" s="31">
        <v>79</v>
      </c>
      <c r="T18" s="32">
        <v>0</v>
      </c>
      <c r="U18" s="33">
        <v>5</v>
      </c>
      <c r="V18" s="27" t="s">
        <v>30</v>
      </c>
      <c r="W18" s="15"/>
    </row>
    <row r="19" spans="1:23" ht="12">
      <c r="A19" s="15">
        <v>17</v>
      </c>
      <c r="B19" s="34" t="s">
        <v>56</v>
      </c>
      <c r="C19" s="29">
        <v>5</v>
      </c>
      <c r="D19" s="30">
        <v>5</v>
      </c>
      <c r="E19" s="30">
        <v>5</v>
      </c>
      <c r="F19" s="30">
        <v>5</v>
      </c>
      <c r="G19" s="30">
        <v>4</v>
      </c>
      <c r="H19" s="30">
        <v>4</v>
      </c>
      <c r="I19" s="30">
        <v>4</v>
      </c>
      <c r="J19" s="30">
        <v>3</v>
      </c>
      <c r="K19" s="30">
        <v>5</v>
      </c>
      <c r="L19" s="30">
        <v>4</v>
      </c>
      <c r="M19" s="30">
        <v>5</v>
      </c>
      <c r="N19" s="30">
        <v>5</v>
      </c>
      <c r="O19" s="30"/>
      <c r="P19" s="30"/>
      <c r="Q19" s="31">
        <v>39</v>
      </c>
      <c r="R19" s="32">
        <v>0</v>
      </c>
      <c r="S19" s="31">
        <v>79</v>
      </c>
      <c r="T19" s="32">
        <v>0</v>
      </c>
      <c r="U19" s="33">
        <v>5</v>
      </c>
      <c r="V19" s="27" t="s">
        <v>31</v>
      </c>
      <c r="W19" s="15"/>
    </row>
    <row r="20" spans="1:23" ht="12">
      <c r="A20" s="15">
        <v>18</v>
      </c>
      <c r="B20" s="34" t="s">
        <v>58</v>
      </c>
      <c r="C20" s="29">
        <v>5</v>
      </c>
      <c r="D20" s="30">
        <v>5</v>
      </c>
      <c r="E20" s="30">
        <v>5</v>
      </c>
      <c r="F20" s="30">
        <v>5</v>
      </c>
      <c r="G20" s="30">
        <v>5</v>
      </c>
      <c r="H20" s="30">
        <v>5</v>
      </c>
      <c r="I20" s="30">
        <v>5</v>
      </c>
      <c r="J20" s="30">
        <v>5</v>
      </c>
      <c r="K20" s="30">
        <v>5</v>
      </c>
      <c r="L20" s="30">
        <v>5</v>
      </c>
      <c r="M20" s="30">
        <v>5</v>
      </c>
      <c r="N20" s="30">
        <v>5</v>
      </c>
      <c r="O20" s="30">
        <v>5</v>
      </c>
      <c r="P20" s="30">
        <v>5</v>
      </c>
      <c r="Q20" s="31">
        <v>10</v>
      </c>
      <c r="R20" s="32">
        <v>0</v>
      </c>
      <c r="S20" s="31">
        <v>31</v>
      </c>
      <c r="T20" s="32">
        <v>1</v>
      </c>
      <c r="U20" s="33">
        <v>5</v>
      </c>
      <c r="V20" s="27" t="s">
        <v>30</v>
      </c>
      <c r="W20" s="15"/>
    </row>
    <row r="21" spans="1:23" ht="12">
      <c r="A21" s="15">
        <v>19</v>
      </c>
      <c r="B21" s="34" t="s">
        <v>60</v>
      </c>
      <c r="C21" s="29">
        <v>4</v>
      </c>
      <c r="D21" s="30">
        <v>3</v>
      </c>
      <c r="E21" s="30">
        <v>5</v>
      </c>
      <c r="F21" s="30">
        <v>4</v>
      </c>
      <c r="G21" s="30">
        <v>3</v>
      </c>
      <c r="H21" s="30">
        <v>3</v>
      </c>
      <c r="I21" s="30">
        <v>2</v>
      </c>
      <c r="J21" s="30">
        <v>2</v>
      </c>
      <c r="K21" s="30">
        <v>4</v>
      </c>
      <c r="L21" s="30">
        <v>2</v>
      </c>
      <c r="M21" s="30">
        <v>5</v>
      </c>
      <c r="N21" s="30">
        <v>5</v>
      </c>
      <c r="O21" s="30"/>
      <c r="P21" s="30"/>
      <c r="Q21" s="31">
        <v>23</v>
      </c>
      <c r="R21" s="32">
        <v>2</v>
      </c>
      <c r="S21" s="31">
        <v>4</v>
      </c>
      <c r="T21" s="32">
        <v>4</v>
      </c>
      <c r="U21" s="33">
        <v>5</v>
      </c>
      <c r="V21" s="27" t="s">
        <v>31</v>
      </c>
      <c r="W21" s="15"/>
    </row>
    <row r="22" spans="1:23" ht="12">
      <c r="A22" s="15">
        <v>20</v>
      </c>
      <c r="B22" s="34" t="s">
        <v>62</v>
      </c>
      <c r="C22" s="29">
        <v>4</v>
      </c>
      <c r="D22" s="30">
        <v>2</v>
      </c>
      <c r="E22" s="30">
        <v>5</v>
      </c>
      <c r="F22" s="30">
        <v>5</v>
      </c>
      <c r="G22" s="30">
        <v>4</v>
      </c>
      <c r="H22" s="30">
        <v>4</v>
      </c>
      <c r="I22" s="30">
        <v>2</v>
      </c>
      <c r="J22" s="30">
        <v>3</v>
      </c>
      <c r="K22" s="30">
        <v>4</v>
      </c>
      <c r="L22" s="30">
        <v>4</v>
      </c>
      <c r="M22" s="30">
        <v>5</v>
      </c>
      <c r="N22" s="30">
        <v>5</v>
      </c>
      <c r="O22" s="30">
        <v>5</v>
      </c>
      <c r="P22" s="30"/>
      <c r="Q22" s="31">
        <v>41</v>
      </c>
      <c r="R22" s="32">
        <v>0</v>
      </c>
      <c r="S22" s="31">
        <v>25</v>
      </c>
      <c r="T22" s="32">
        <v>1</v>
      </c>
      <c r="U22" s="33">
        <v>5</v>
      </c>
      <c r="V22" s="27" t="s">
        <v>31</v>
      </c>
      <c r="W22" s="15"/>
    </row>
    <row r="23" spans="1:23" ht="12">
      <c r="A23" s="15">
        <v>21</v>
      </c>
      <c r="B23" s="34" t="s">
        <v>64</v>
      </c>
      <c r="C23" s="29">
        <v>4</v>
      </c>
      <c r="D23" s="30">
        <v>2</v>
      </c>
      <c r="E23" s="30">
        <v>5</v>
      </c>
      <c r="F23" s="30">
        <v>5</v>
      </c>
      <c r="G23" s="30">
        <v>2</v>
      </c>
      <c r="H23" s="30">
        <v>3</v>
      </c>
      <c r="I23" s="30">
        <v>2</v>
      </c>
      <c r="J23" s="30">
        <v>2</v>
      </c>
      <c r="K23" s="30">
        <v>4</v>
      </c>
      <c r="L23" s="30">
        <v>3</v>
      </c>
      <c r="M23" s="30">
        <v>5</v>
      </c>
      <c r="N23" s="30">
        <v>5</v>
      </c>
      <c r="O23" s="30">
        <v>4</v>
      </c>
      <c r="P23" s="30"/>
      <c r="Q23" s="31">
        <v>1</v>
      </c>
      <c r="R23" s="32">
        <v>0</v>
      </c>
      <c r="S23" s="31">
        <v>19</v>
      </c>
      <c r="T23" s="32">
        <v>0</v>
      </c>
      <c r="U23" s="33">
        <v>3</v>
      </c>
      <c r="V23" s="27" t="s">
        <v>30</v>
      </c>
      <c r="W23" s="15"/>
    </row>
    <row r="24" spans="1:23" ht="12">
      <c r="A24" s="15">
        <v>22</v>
      </c>
      <c r="B24" s="34" t="s">
        <v>66</v>
      </c>
      <c r="C24" s="29">
        <v>5</v>
      </c>
      <c r="D24" s="30">
        <v>3</v>
      </c>
      <c r="E24" s="30">
        <v>5</v>
      </c>
      <c r="F24" s="30">
        <v>5</v>
      </c>
      <c r="G24" s="30">
        <v>4</v>
      </c>
      <c r="H24" s="30">
        <v>4</v>
      </c>
      <c r="I24" s="30">
        <v>3</v>
      </c>
      <c r="J24" s="30">
        <v>3</v>
      </c>
      <c r="K24" s="30">
        <v>5</v>
      </c>
      <c r="L24" s="30">
        <v>4</v>
      </c>
      <c r="M24" s="30">
        <v>5</v>
      </c>
      <c r="N24" s="30">
        <v>5</v>
      </c>
      <c r="O24" s="30"/>
      <c r="P24" s="30">
        <v>4</v>
      </c>
      <c r="Q24" s="31">
        <v>16</v>
      </c>
      <c r="R24" s="32">
        <v>0</v>
      </c>
      <c r="S24" s="31">
        <v>17</v>
      </c>
      <c r="T24" s="32">
        <v>1</v>
      </c>
      <c r="U24" s="33">
        <v>5</v>
      </c>
      <c r="V24" s="27" t="s">
        <v>30</v>
      </c>
      <c r="W24" s="15"/>
    </row>
    <row r="25" spans="1:23" ht="12">
      <c r="A25" s="15">
        <v>23</v>
      </c>
      <c r="B25" s="34"/>
      <c r="C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1"/>
      <c r="R25" s="32"/>
      <c r="S25" s="31"/>
      <c r="T25" s="32"/>
      <c r="U25" s="37"/>
      <c r="V25" s="27"/>
      <c r="W25" s="15"/>
    </row>
    <row r="26" spans="1:23" ht="12">
      <c r="A26" s="15">
        <v>24</v>
      </c>
      <c r="B26" s="34"/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2"/>
      <c r="S26" s="31"/>
      <c r="T26" s="32"/>
      <c r="U26" s="37"/>
      <c r="V26" s="27"/>
      <c r="W26" s="15"/>
    </row>
    <row r="27" spans="1:23" ht="12">
      <c r="A27" s="15">
        <v>25</v>
      </c>
      <c r="B27" s="28"/>
      <c r="C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1"/>
      <c r="R27" s="32"/>
      <c r="S27" s="31"/>
      <c r="T27" s="32"/>
      <c r="U27" s="37"/>
      <c r="V27" s="27"/>
      <c r="W27" s="15"/>
    </row>
    <row r="28" spans="1:23" ht="12">
      <c r="A28" s="15">
        <v>26</v>
      </c>
      <c r="B28" s="34"/>
      <c r="C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1"/>
      <c r="R28" s="32"/>
      <c r="S28" s="31"/>
      <c r="T28" s="32"/>
      <c r="U28" s="37"/>
      <c r="V28" s="27"/>
      <c r="W28" s="15"/>
    </row>
    <row r="29" spans="1:23" ht="12">
      <c r="A29" s="15">
        <v>27</v>
      </c>
      <c r="B29" s="34"/>
      <c r="C29" s="2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1"/>
      <c r="R29" s="32"/>
      <c r="S29" s="31"/>
      <c r="T29" s="32"/>
      <c r="U29" s="37"/>
      <c r="V29" s="27"/>
      <c r="W29" s="15"/>
    </row>
    <row r="30" spans="1:23" ht="12">
      <c r="A30" s="15">
        <v>28</v>
      </c>
      <c r="B30" s="34"/>
      <c r="C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/>
      <c r="R30" s="32"/>
      <c r="S30" s="31"/>
      <c r="T30" s="32"/>
      <c r="U30" s="37"/>
      <c r="V30" s="27"/>
      <c r="W30" s="15"/>
    </row>
    <row r="31" spans="1:23" ht="12">
      <c r="A31" s="15">
        <v>29</v>
      </c>
      <c r="B31" s="34"/>
      <c r="C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1"/>
      <c r="R31" s="32"/>
      <c r="S31" s="31"/>
      <c r="T31" s="32"/>
      <c r="U31" s="37"/>
      <c r="V31" s="27"/>
      <c r="W31" s="15"/>
    </row>
    <row r="32" spans="1:23" ht="12">
      <c r="A32" s="15">
        <v>30</v>
      </c>
      <c r="B32" s="28"/>
      <c r="C32" s="2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1"/>
      <c r="R32" s="32"/>
      <c r="S32" s="31"/>
      <c r="T32" s="32"/>
      <c r="U32" s="37"/>
      <c r="V32" s="27"/>
      <c r="W32" s="15"/>
    </row>
    <row r="33" spans="1:23" ht="12">
      <c r="A33" s="15">
        <v>31</v>
      </c>
      <c r="B33" s="34"/>
      <c r="C33" s="2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1"/>
      <c r="R33" s="32"/>
      <c r="S33" s="31"/>
      <c r="T33" s="32"/>
      <c r="U33" s="37"/>
      <c r="V33" s="27"/>
      <c r="W33" s="15"/>
    </row>
    <row r="34" spans="1:23" ht="12">
      <c r="A34" s="15">
        <v>32</v>
      </c>
      <c r="B34" s="34"/>
      <c r="C34" s="2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1"/>
      <c r="R34" s="32"/>
      <c r="S34" s="31"/>
      <c r="T34" s="32"/>
      <c r="U34" s="37"/>
      <c r="V34" s="27"/>
      <c r="W34" s="15"/>
    </row>
    <row r="35" spans="1:23" ht="12">
      <c r="A35" s="15">
        <v>33</v>
      </c>
      <c r="B35" s="34"/>
      <c r="C35" s="2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1"/>
      <c r="R35" s="32"/>
      <c r="S35" s="31"/>
      <c r="T35" s="32"/>
      <c r="U35" s="37"/>
      <c r="V35" s="27"/>
      <c r="W35" s="15"/>
    </row>
    <row r="36" spans="1:23" ht="12">
      <c r="A36" s="15">
        <v>34</v>
      </c>
      <c r="B36" s="28"/>
      <c r="C36" s="2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1"/>
      <c r="R36" s="32"/>
      <c r="S36" s="31"/>
      <c r="T36" s="32"/>
      <c r="U36" s="37"/>
      <c r="V36" s="27"/>
      <c r="W36" s="15"/>
    </row>
    <row r="37" spans="1:23" ht="12">
      <c r="A37" s="15">
        <v>35</v>
      </c>
      <c r="B37" s="34"/>
      <c r="C37" s="2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1"/>
      <c r="R37" s="32"/>
      <c r="S37" s="31"/>
      <c r="T37" s="32"/>
      <c r="U37" s="37"/>
      <c r="V37" s="27"/>
      <c r="W37" s="15"/>
    </row>
    <row r="38" spans="1:23" ht="12">
      <c r="A38" s="15">
        <v>36</v>
      </c>
      <c r="B38" s="34"/>
      <c r="C38" s="2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1"/>
      <c r="R38" s="32"/>
      <c r="S38" s="31"/>
      <c r="T38" s="32"/>
      <c r="U38" s="37"/>
      <c r="V38" s="27"/>
      <c r="W38" s="15"/>
    </row>
    <row r="39" spans="1:23" ht="12">
      <c r="A39" s="15">
        <v>37</v>
      </c>
      <c r="B39" s="34"/>
      <c r="C39" s="2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  <c r="R39" s="32"/>
      <c r="S39" s="31"/>
      <c r="T39" s="32"/>
      <c r="U39" s="37"/>
      <c r="V39" s="27"/>
      <c r="W39" s="15"/>
    </row>
    <row r="40" spans="1:23" ht="12">
      <c r="A40" s="15">
        <v>38</v>
      </c>
      <c r="B40" s="34"/>
      <c r="C40" s="2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1"/>
      <c r="R40" s="32"/>
      <c r="S40" s="31"/>
      <c r="T40" s="32"/>
      <c r="U40" s="37"/>
      <c r="V40" s="27"/>
      <c r="W40" s="15"/>
    </row>
    <row r="41" spans="1:23" ht="12">
      <c r="A41" s="15">
        <v>39</v>
      </c>
      <c r="B41" s="34"/>
      <c r="C41" s="2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1"/>
      <c r="R41" s="32"/>
      <c r="S41" s="31"/>
      <c r="T41" s="32"/>
      <c r="U41" s="37"/>
      <c r="V41" s="27"/>
      <c r="W41" s="15"/>
    </row>
    <row r="42" spans="1:23" ht="12">
      <c r="A42" s="38">
        <v>40</v>
      </c>
      <c r="B42" s="34"/>
      <c r="C42" s="2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9"/>
      <c r="V42" s="304"/>
      <c r="W42" s="15"/>
    </row>
    <row r="43" spans="1:23" ht="12">
      <c r="A43" s="40"/>
      <c r="B43" s="41"/>
      <c r="C43" s="42" t="s">
        <v>9</v>
      </c>
      <c r="D43" s="43" t="s">
        <v>10</v>
      </c>
      <c r="E43" s="43" t="s">
        <v>11</v>
      </c>
      <c r="F43" s="43" t="s">
        <v>12</v>
      </c>
      <c r="G43" s="44" t="s">
        <v>13</v>
      </c>
      <c r="H43" s="43" t="s">
        <v>14</v>
      </c>
      <c r="I43" s="43" t="s">
        <v>15</v>
      </c>
      <c r="J43" s="43" t="s">
        <v>16</v>
      </c>
      <c r="K43" s="43" t="s">
        <v>17</v>
      </c>
      <c r="L43" s="43" t="s">
        <v>18</v>
      </c>
      <c r="M43" s="43" t="s">
        <v>19</v>
      </c>
      <c r="N43" s="43" t="s">
        <v>20</v>
      </c>
      <c r="O43" s="43" t="s">
        <v>21</v>
      </c>
      <c r="P43" s="43" t="s">
        <v>22</v>
      </c>
      <c r="Q43" s="43" t="s">
        <v>23</v>
      </c>
      <c r="R43" s="43" t="s">
        <v>24</v>
      </c>
      <c r="S43" s="43" t="s">
        <v>25</v>
      </c>
      <c r="T43" s="43" t="s">
        <v>26</v>
      </c>
      <c r="U43" s="43" t="s">
        <v>27</v>
      </c>
      <c r="V43" s="45" t="s">
        <v>28</v>
      </c>
      <c r="W43" s="15"/>
    </row>
    <row r="44" spans="1:23" ht="12">
      <c r="A44" s="46"/>
      <c r="B44" s="47"/>
      <c r="C44" s="48"/>
      <c r="D44" s="49"/>
      <c r="E44" s="15"/>
      <c r="F44" s="15"/>
      <c r="G44" s="5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</sheetData>
  <mergeCells count="4">
    <mergeCell ref="C1:D1"/>
    <mergeCell ref="F1:H1"/>
    <mergeCell ref="J1:L1"/>
    <mergeCell ref="N1:R1"/>
  </mergeCells>
  <dataValidations count="5">
    <dataValidation type="custom" allowBlank="1" showErrorMessage="1" errorTitle="Informacija" error="Pogresan simbol, mozete samo da upistete brojeve od 1-5 i slovo n." sqref="C3:P41 C42:U42">
      <formula1>OR(AND(C3&gt;0,C3&lt;6),C3="n")</formula1>
      <formula2>0</formula2>
    </dataValidation>
    <dataValidation type="list" showErrorMessage="1" sqref="V25:V42">
      <formula1>#REF!</formula1>
      <formula2>0</formula2>
    </dataValidation>
    <dataValidation type="list" showErrorMessage="1" sqref="V3:V24">
      <formula1>$Z$2:$Z$4</formula1>
      <formula2>0</formula2>
    </dataValidation>
    <dataValidation type="list" allowBlank="1" showErrorMessage="1" sqref="S1:T1">
      <formula1>$Z$8:$Z$31</formula1>
      <formula2>0</formula2>
    </dataValidation>
    <dataValidation type="list" allowBlank="1" showErrorMessage="1" sqref="M1">
      <formula1>$AA$3:$AA$5</formula1>
      <formula2>0</formula2>
    </dataValidation>
  </dataValidations>
  <hyperlinks>
    <hyperlink ref="W1" location="Pomoc!A1" display="?"/>
  </hyperlinks>
  <printOptions horizontalCentered="1"/>
  <pageMargins left="0.25" right="0.25" top="1" bottom="1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R11" sqref="A1:IV65536"/>
    </sheetView>
  </sheetViews>
  <sheetFormatPr defaultColWidth="9.140625" defaultRowHeight="12.75"/>
  <cols>
    <col min="1" max="1" width="4.28125" style="2" customWidth="1"/>
    <col min="2" max="2" width="22.7109375" style="2" customWidth="1"/>
    <col min="3" max="15" width="5.28125" style="2" customWidth="1"/>
    <col min="16" max="19" width="6.7109375" style="2" customWidth="1"/>
    <col min="20" max="21" width="5.7109375" style="2" customWidth="1"/>
    <col min="22" max="22" width="3.7109375" style="2" customWidth="1"/>
    <col min="23" max="23" width="4.140625" style="2" customWidth="1"/>
    <col min="24" max="16384" width="9.00390625" style="2" customWidth="1"/>
  </cols>
  <sheetData>
    <row r="1" spans="1:23" ht="12">
      <c r="A1" s="4" t="s">
        <v>0</v>
      </c>
      <c r="B1" s="5"/>
      <c r="C1" s="6" t="s">
        <v>1</v>
      </c>
      <c r="D1" s="6"/>
      <c r="E1" s="7">
        <v>6</v>
      </c>
      <c r="F1" s="7" t="s">
        <v>2</v>
      </c>
      <c r="G1" s="7"/>
      <c r="H1" s="7"/>
      <c r="I1" s="7">
        <v>1</v>
      </c>
      <c r="J1" s="7" t="s">
        <v>208</v>
      </c>
      <c r="K1" s="7"/>
      <c r="L1" s="7"/>
      <c r="M1" s="8">
        <v>2</v>
      </c>
      <c r="N1" s="7" t="s">
        <v>209</v>
      </c>
      <c r="O1" s="7"/>
      <c r="P1" s="7"/>
      <c r="Q1" s="7"/>
      <c r="R1" s="7"/>
      <c r="S1" s="8" t="s">
        <v>45</v>
      </c>
      <c r="T1" s="8" t="s">
        <v>47</v>
      </c>
      <c r="U1" s="9"/>
      <c r="V1" s="10"/>
      <c r="W1" s="11" t="s">
        <v>7</v>
      </c>
    </row>
    <row r="2" spans="1:23" ht="12">
      <c r="A2" s="15"/>
      <c r="B2" s="16" t="s">
        <v>8</v>
      </c>
      <c r="C2" s="17" t="s">
        <v>9</v>
      </c>
      <c r="D2" s="18" t="s">
        <v>10</v>
      </c>
      <c r="E2" s="18" t="s">
        <v>11</v>
      </c>
      <c r="F2" s="18" t="s">
        <v>12</v>
      </c>
      <c r="G2" s="19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20" t="s">
        <v>28</v>
      </c>
      <c r="W2" s="15"/>
    </row>
    <row r="3" spans="1:23" ht="12">
      <c r="A3" s="15">
        <v>1</v>
      </c>
      <c r="B3" s="21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5"/>
      <c r="S3" s="24"/>
      <c r="T3" s="25"/>
      <c r="U3" s="26"/>
      <c r="V3" s="27"/>
      <c r="W3" s="15"/>
    </row>
    <row r="4" spans="1:23" ht="12">
      <c r="A4" s="15">
        <v>2</v>
      </c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2"/>
      <c r="S4" s="31"/>
      <c r="T4" s="32"/>
      <c r="U4" s="33"/>
      <c r="V4" s="27"/>
      <c r="W4" s="15"/>
    </row>
    <row r="5" spans="1:23" ht="12">
      <c r="A5" s="15">
        <v>3</v>
      </c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2"/>
      <c r="S5" s="31"/>
      <c r="T5" s="32"/>
      <c r="U5" s="33"/>
      <c r="V5" s="27"/>
      <c r="W5" s="15"/>
    </row>
    <row r="6" spans="1:23" ht="12">
      <c r="A6" s="15">
        <v>4</v>
      </c>
      <c r="B6" s="34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2"/>
      <c r="S6" s="31"/>
      <c r="T6" s="32"/>
      <c r="U6" s="33"/>
      <c r="V6" s="27"/>
      <c r="W6" s="15"/>
    </row>
    <row r="7" spans="1:23" ht="12">
      <c r="A7" s="15">
        <v>5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1"/>
      <c r="T7" s="32"/>
      <c r="U7" s="33"/>
      <c r="V7" s="27"/>
      <c r="W7" s="15"/>
    </row>
    <row r="8" spans="1:23" ht="12">
      <c r="A8" s="15">
        <v>6</v>
      </c>
      <c r="B8" s="34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2"/>
      <c r="S8" s="31"/>
      <c r="T8" s="32"/>
      <c r="U8" s="33"/>
      <c r="V8" s="27"/>
      <c r="W8" s="15"/>
    </row>
    <row r="9" spans="1:23" ht="12">
      <c r="A9" s="15">
        <v>7</v>
      </c>
      <c r="B9" s="34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2"/>
      <c r="S9" s="31"/>
      <c r="T9" s="32"/>
      <c r="U9" s="33"/>
      <c r="V9" s="27"/>
      <c r="W9" s="15"/>
    </row>
    <row r="10" spans="1:23" ht="12">
      <c r="A10" s="15">
        <v>8</v>
      </c>
      <c r="B10" s="34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2"/>
      <c r="S10" s="31"/>
      <c r="T10" s="32"/>
      <c r="U10" s="33"/>
      <c r="V10" s="27"/>
      <c r="W10" s="15"/>
    </row>
    <row r="11" spans="1:23" ht="12">
      <c r="A11" s="15">
        <v>9</v>
      </c>
      <c r="B11" s="34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2"/>
      <c r="S11" s="31"/>
      <c r="T11" s="32"/>
      <c r="U11" s="33"/>
      <c r="V11" s="27"/>
      <c r="W11" s="15"/>
    </row>
    <row r="12" spans="1:23" ht="12">
      <c r="A12" s="15">
        <v>10</v>
      </c>
      <c r="B12" s="34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1"/>
      <c r="T12" s="32"/>
      <c r="U12" s="33"/>
      <c r="V12" s="27"/>
      <c r="W12" s="15"/>
    </row>
    <row r="13" spans="1:23" ht="12">
      <c r="A13" s="15">
        <v>11</v>
      </c>
      <c r="B13" s="34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2"/>
      <c r="S13" s="31"/>
      <c r="T13" s="32"/>
      <c r="U13" s="33"/>
      <c r="V13" s="27"/>
      <c r="W13" s="15"/>
    </row>
    <row r="14" spans="1:23" ht="12">
      <c r="A14" s="15">
        <v>12</v>
      </c>
      <c r="B14" s="34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2"/>
      <c r="S14" s="31"/>
      <c r="T14" s="32"/>
      <c r="U14" s="33"/>
      <c r="V14" s="27"/>
      <c r="W14" s="15"/>
    </row>
    <row r="15" spans="1:23" ht="12">
      <c r="A15" s="15">
        <v>13</v>
      </c>
      <c r="B15" s="34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2"/>
      <c r="S15" s="31"/>
      <c r="T15" s="32"/>
      <c r="U15" s="33"/>
      <c r="V15" s="27"/>
      <c r="W15" s="15"/>
    </row>
    <row r="16" spans="1:23" ht="12">
      <c r="A16" s="15">
        <v>14</v>
      </c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32"/>
      <c r="S16" s="31"/>
      <c r="T16" s="32"/>
      <c r="U16" s="33"/>
      <c r="V16" s="27"/>
      <c r="W16" s="15"/>
    </row>
    <row r="17" spans="1:23" ht="12">
      <c r="A17" s="15">
        <v>15</v>
      </c>
      <c r="B17" s="34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2"/>
      <c r="S17" s="31"/>
      <c r="T17" s="32"/>
      <c r="U17" s="33"/>
      <c r="V17" s="27"/>
      <c r="W17" s="15"/>
    </row>
    <row r="18" spans="1:23" ht="12">
      <c r="A18" s="15">
        <v>16</v>
      </c>
      <c r="B18" s="34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2"/>
      <c r="S18" s="31"/>
      <c r="T18" s="32"/>
      <c r="U18" s="33"/>
      <c r="V18" s="27"/>
      <c r="W18" s="15"/>
    </row>
    <row r="19" spans="1:23" ht="12">
      <c r="A19" s="15">
        <v>17</v>
      </c>
      <c r="B19" s="34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2"/>
      <c r="S19" s="31"/>
      <c r="T19" s="32"/>
      <c r="U19" s="33"/>
      <c r="V19" s="27"/>
      <c r="W19" s="15"/>
    </row>
    <row r="20" spans="1:23" ht="12">
      <c r="A20" s="15">
        <v>18</v>
      </c>
      <c r="B20" s="34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2"/>
      <c r="S20" s="31"/>
      <c r="T20" s="32"/>
      <c r="U20" s="33"/>
      <c r="V20" s="27"/>
      <c r="W20" s="15"/>
    </row>
    <row r="21" spans="1:23" ht="12">
      <c r="A21" s="15">
        <v>19</v>
      </c>
      <c r="B21" s="34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32"/>
      <c r="S21" s="31"/>
      <c r="T21" s="32"/>
      <c r="U21" s="33"/>
      <c r="V21" s="27"/>
      <c r="W21" s="15"/>
    </row>
    <row r="22" spans="1:23" ht="12">
      <c r="A22" s="15">
        <v>20</v>
      </c>
      <c r="B22" s="34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2"/>
      <c r="S22" s="31"/>
      <c r="T22" s="32"/>
      <c r="U22" s="33"/>
      <c r="V22" s="27"/>
      <c r="W22" s="15"/>
    </row>
    <row r="23" spans="1:23" ht="12">
      <c r="A23" s="15">
        <v>21</v>
      </c>
      <c r="B23" s="34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32"/>
      <c r="S23" s="31"/>
      <c r="T23" s="32"/>
      <c r="U23" s="33"/>
      <c r="V23" s="27"/>
      <c r="W23" s="15"/>
    </row>
    <row r="24" spans="1:23" ht="12">
      <c r="A24" s="15">
        <v>22</v>
      </c>
      <c r="B24" s="34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32"/>
      <c r="S24" s="31"/>
      <c r="T24" s="32"/>
      <c r="U24" s="33"/>
      <c r="V24" s="27"/>
      <c r="W24" s="15"/>
    </row>
    <row r="25" spans="1:23" ht="12">
      <c r="A25" s="15">
        <v>23</v>
      </c>
      <c r="B25" s="34"/>
      <c r="C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1"/>
      <c r="R25" s="32"/>
      <c r="S25" s="31"/>
      <c r="T25" s="32"/>
      <c r="U25" s="37"/>
      <c r="V25" s="27"/>
      <c r="W25" s="15"/>
    </row>
    <row r="26" spans="1:23" ht="12">
      <c r="A26" s="15">
        <v>24</v>
      </c>
      <c r="B26" s="34"/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2"/>
      <c r="S26" s="31"/>
      <c r="T26" s="32"/>
      <c r="U26" s="37"/>
      <c r="V26" s="27"/>
      <c r="W26" s="15"/>
    </row>
    <row r="27" spans="1:23" ht="12">
      <c r="A27" s="15">
        <v>25</v>
      </c>
      <c r="B27" s="28"/>
      <c r="C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1"/>
      <c r="R27" s="32"/>
      <c r="S27" s="31"/>
      <c r="T27" s="32"/>
      <c r="U27" s="37"/>
      <c r="V27" s="27"/>
      <c r="W27" s="15"/>
    </row>
    <row r="28" spans="1:23" ht="12">
      <c r="A28" s="15">
        <v>26</v>
      </c>
      <c r="B28" s="34"/>
      <c r="C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1"/>
      <c r="R28" s="32"/>
      <c r="S28" s="31"/>
      <c r="T28" s="32"/>
      <c r="U28" s="37"/>
      <c r="V28" s="27"/>
      <c r="W28" s="15"/>
    </row>
    <row r="29" spans="1:23" ht="12">
      <c r="A29" s="15">
        <v>27</v>
      </c>
      <c r="B29" s="34"/>
      <c r="C29" s="2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1"/>
      <c r="R29" s="32"/>
      <c r="S29" s="31"/>
      <c r="T29" s="32"/>
      <c r="U29" s="37"/>
      <c r="V29" s="27"/>
      <c r="W29" s="15"/>
    </row>
    <row r="30" spans="1:23" ht="12">
      <c r="A30" s="15">
        <v>28</v>
      </c>
      <c r="B30" s="34"/>
      <c r="C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/>
      <c r="R30" s="32"/>
      <c r="S30" s="31"/>
      <c r="T30" s="32"/>
      <c r="U30" s="37"/>
      <c r="V30" s="27"/>
      <c r="W30" s="15"/>
    </row>
    <row r="31" spans="1:23" ht="12">
      <c r="A31" s="15">
        <v>29</v>
      </c>
      <c r="B31" s="34"/>
      <c r="C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1"/>
      <c r="R31" s="32"/>
      <c r="S31" s="31"/>
      <c r="T31" s="32"/>
      <c r="U31" s="37"/>
      <c r="V31" s="27"/>
      <c r="W31" s="15"/>
    </row>
    <row r="32" spans="1:23" ht="12">
      <c r="A32" s="15">
        <v>30</v>
      </c>
      <c r="B32" s="28"/>
      <c r="C32" s="2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1"/>
      <c r="R32" s="32"/>
      <c r="S32" s="31"/>
      <c r="T32" s="32"/>
      <c r="U32" s="37"/>
      <c r="V32" s="27"/>
      <c r="W32" s="15"/>
    </row>
    <row r="33" spans="1:23" ht="12">
      <c r="A33" s="15">
        <v>31</v>
      </c>
      <c r="B33" s="34"/>
      <c r="C33" s="2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1"/>
      <c r="R33" s="32"/>
      <c r="S33" s="31"/>
      <c r="T33" s="32"/>
      <c r="U33" s="37"/>
      <c r="V33" s="27"/>
      <c r="W33" s="15"/>
    </row>
    <row r="34" spans="1:23" ht="12">
      <c r="A34" s="15">
        <v>32</v>
      </c>
      <c r="B34" s="34"/>
      <c r="C34" s="2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1"/>
      <c r="R34" s="32"/>
      <c r="S34" s="31"/>
      <c r="T34" s="32"/>
      <c r="U34" s="37"/>
      <c r="V34" s="27"/>
      <c r="W34" s="15"/>
    </row>
    <row r="35" spans="1:23" ht="12">
      <c r="A35" s="15">
        <v>33</v>
      </c>
      <c r="B35" s="34"/>
      <c r="C35" s="2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1"/>
      <c r="R35" s="32"/>
      <c r="S35" s="31"/>
      <c r="T35" s="32"/>
      <c r="U35" s="37"/>
      <c r="V35" s="27"/>
      <c r="W35" s="15"/>
    </row>
    <row r="36" spans="1:23" ht="12">
      <c r="A36" s="15">
        <v>34</v>
      </c>
      <c r="B36" s="28"/>
      <c r="C36" s="2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1"/>
      <c r="R36" s="32"/>
      <c r="S36" s="31"/>
      <c r="T36" s="32"/>
      <c r="U36" s="37"/>
      <c r="V36" s="27"/>
      <c r="W36" s="15"/>
    </row>
    <row r="37" spans="1:23" ht="12">
      <c r="A37" s="15">
        <v>35</v>
      </c>
      <c r="B37" s="34"/>
      <c r="C37" s="2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1"/>
      <c r="R37" s="32"/>
      <c r="S37" s="31"/>
      <c r="T37" s="32"/>
      <c r="U37" s="37"/>
      <c r="V37" s="27"/>
      <c r="W37" s="15"/>
    </row>
    <row r="38" spans="1:23" ht="12">
      <c r="A38" s="15">
        <v>36</v>
      </c>
      <c r="B38" s="34"/>
      <c r="C38" s="2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1"/>
      <c r="R38" s="32"/>
      <c r="S38" s="31"/>
      <c r="T38" s="32"/>
      <c r="U38" s="37"/>
      <c r="V38" s="27"/>
      <c r="W38" s="15"/>
    </row>
    <row r="39" spans="1:23" ht="12">
      <c r="A39" s="15">
        <v>37</v>
      </c>
      <c r="B39" s="34"/>
      <c r="C39" s="2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  <c r="R39" s="32"/>
      <c r="S39" s="31"/>
      <c r="T39" s="32"/>
      <c r="U39" s="37"/>
      <c r="V39" s="27"/>
      <c r="W39" s="15"/>
    </row>
    <row r="40" spans="1:23" ht="12">
      <c r="A40" s="15">
        <v>38</v>
      </c>
      <c r="B40" s="34"/>
      <c r="C40" s="2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1"/>
      <c r="R40" s="32"/>
      <c r="S40" s="31"/>
      <c r="T40" s="32"/>
      <c r="U40" s="37"/>
      <c r="V40" s="27"/>
      <c r="W40" s="15"/>
    </row>
    <row r="41" spans="1:23" ht="12">
      <c r="A41" s="15">
        <v>39</v>
      </c>
      <c r="B41" s="34"/>
      <c r="C41" s="2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1"/>
      <c r="R41" s="32"/>
      <c r="S41" s="31"/>
      <c r="T41" s="32"/>
      <c r="U41" s="37"/>
      <c r="V41" s="27"/>
      <c r="W41" s="15"/>
    </row>
    <row r="42" spans="1:23" ht="12">
      <c r="A42" s="38">
        <v>40</v>
      </c>
      <c r="B42" s="34"/>
      <c r="C42" s="2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9"/>
      <c r="V42" s="304"/>
      <c r="W42" s="15"/>
    </row>
    <row r="43" spans="1:23" ht="12">
      <c r="A43" s="40"/>
      <c r="B43" s="41"/>
      <c r="C43" s="42" t="s">
        <v>9</v>
      </c>
      <c r="D43" s="43" t="s">
        <v>10</v>
      </c>
      <c r="E43" s="43" t="s">
        <v>11</v>
      </c>
      <c r="F43" s="43" t="s">
        <v>12</v>
      </c>
      <c r="G43" s="44" t="s">
        <v>13</v>
      </c>
      <c r="H43" s="43" t="s">
        <v>14</v>
      </c>
      <c r="I43" s="43" t="s">
        <v>15</v>
      </c>
      <c r="J43" s="43" t="s">
        <v>16</v>
      </c>
      <c r="K43" s="43" t="s">
        <v>17</v>
      </c>
      <c r="L43" s="43" t="s">
        <v>18</v>
      </c>
      <c r="M43" s="43" t="s">
        <v>19</v>
      </c>
      <c r="N43" s="43" t="s">
        <v>20</v>
      </c>
      <c r="O43" s="43" t="s">
        <v>21</v>
      </c>
      <c r="P43" s="43" t="s">
        <v>22</v>
      </c>
      <c r="Q43" s="43" t="s">
        <v>23</v>
      </c>
      <c r="R43" s="43" t="s">
        <v>24</v>
      </c>
      <c r="S43" s="43" t="s">
        <v>25</v>
      </c>
      <c r="T43" s="43" t="s">
        <v>26</v>
      </c>
      <c r="U43" s="43" t="s">
        <v>27</v>
      </c>
      <c r="V43" s="45" t="s">
        <v>28</v>
      </c>
      <c r="W43" s="15"/>
    </row>
    <row r="44" spans="1:23" ht="12">
      <c r="A44" s="46"/>
      <c r="B44" s="47"/>
      <c r="C44" s="48"/>
      <c r="D44" s="49"/>
      <c r="E44" s="15"/>
      <c r="F44" s="15"/>
      <c r="G44" s="5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</sheetData>
  <mergeCells count="4">
    <mergeCell ref="C1:D1"/>
    <mergeCell ref="F1:H1"/>
    <mergeCell ref="J1:L1"/>
    <mergeCell ref="N1:R1"/>
  </mergeCells>
  <dataValidations count="5">
    <dataValidation type="custom" allowBlank="1" showErrorMessage="1" errorTitle="Informacija" error="Pogresan simbol, mozete samo da upistete brojeve od 1-5 i slovo n." sqref="C3:P41 C42:U42">
      <formula1>OR(AND(C3&gt;0,C3&lt;6),C3="n")</formula1>
      <formula2>0</formula2>
    </dataValidation>
    <dataValidation type="list" allowBlank="1" showErrorMessage="1" sqref="T1">
      <formula1>#REF!</formula1>
      <formula2>0</formula2>
    </dataValidation>
    <dataValidation type="list" allowBlank="1" showErrorMessage="1" sqref="S1">
      <formula1>#REF!</formula1>
      <formula2>0</formula2>
    </dataValidation>
    <dataValidation type="list" allowBlank="1" showErrorMessage="1" sqref="M1">
      <formula1>#REF!</formula1>
      <formula2>0</formula2>
    </dataValidation>
    <dataValidation type="list" showErrorMessage="1" sqref="V3:V42">
      <formula1>#REF!</formula1>
      <formula2>0</formula2>
    </dataValidation>
  </dataValidations>
  <hyperlinks>
    <hyperlink ref="W1" location="Pomoc!A1" display="?"/>
  </hyperlinks>
  <printOptions/>
  <pageMargins left="0.25" right="0.25" top="1" bottom="1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8"/>
  <sheetViews>
    <sheetView zoomScale="87" zoomScaleNormal="87" zoomScaleSheetLayoutView="100" workbookViewId="0" topLeftCell="A1">
      <selection activeCell="G28" sqref="A1:IV65536"/>
    </sheetView>
  </sheetViews>
  <sheetFormatPr defaultColWidth="9.140625" defaultRowHeight="12.75"/>
  <cols>
    <col min="1" max="1" width="3.7109375" style="2" customWidth="1"/>
    <col min="2" max="2" width="22.7109375" style="2" customWidth="1"/>
    <col min="3" max="21" width="5.28125" style="2" customWidth="1"/>
    <col min="22" max="22" width="3.7109375" style="2" customWidth="1"/>
    <col min="23" max="16384" width="9.00390625" style="2" customWidth="1"/>
  </cols>
  <sheetData>
    <row r="1" spans="1:22" ht="12" customHeight="1">
      <c r="A1" s="305"/>
      <c r="B1" s="306"/>
      <c r="C1" s="307"/>
      <c r="D1" s="308"/>
      <c r="E1" s="309"/>
      <c r="F1" s="309"/>
      <c r="G1" s="310"/>
      <c r="H1" s="308"/>
      <c r="I1" s="309"/>
      <c r="J1" s="305"/>
      <c r="K1" s="309"/>
      <c r="L1" s="309"/>
      <c r="M1" s="305"/>
      <c r="N1" s="309"/>
      <c r="O1" s="309"/>
      <c r="P1" s="309"/>
      <c r="Q1" s="311"/>
      <c r="R1" s="309"/>
      <c r="S1" s="311"/>
      <c r="T1" s="311"/>
      <c r="U1" s="311"/>
      <c r="V1" s="311"/>
    </row>
    <row r="2" spans="1:22" ht="11.25" customHeight="1">
      <c r="A2" s="305"/>
      <c r="B2" s="312" t="str">
        <f>Upis!B2</f>
        <v>        Učenici</v>
      </c>
      <c r="C2" s="313" t="str">
        <f>Upis!C2</f>
        <v>srp</v>
      </c>
      <c r="D2" s="313" t="str">
        <f>Upis!D2</f>
        <v>psj</v>
      </c>
      <c r="E2" s="313" t="str">
        <f>Upis!E2</f>
        <v>lik</v>
      </c>
      <c r="F2" s="313" t="str">
        <f>Upis!F2</f>
        <v>muz</v>
      </c>
      <c r="G2" s="313" t="str">
        <f>Upis!G2</f>
        <v>ist</v>
      </c>
      <c r="H2" s="313" t="str">
        <f>Upis!H2</f>
        <v>geo</v>
      </c>
      <c r="I2" s="313" t="str">
        <f>Upis!I2</f>
        <v>fiz</v>
      </c>
      <c r="J2" s="313" t="str">
        <f>Upis!J2</f>
        <v>mat</v>
      </c>
      <c r="K2" s="313" t="str">
        <f>Upis!K2</f>
        <v>bio</v>
      </c>
      <c r="L2" s="313" t="str">
        <f>Upis!L2</f>
        <v>hem</v>
      </c>
      <c r="M2" s="313" t="str">
        <f>Upis!M2</f>
        <v>teh</v>
      </c>
      <c r="N2" s="313" t="str">
        <f>Upis!N2</f>
        <v>fi.v.</v>
      </c>
      <c r="O2" s="313" t="s">
        <v>21</v>
      </c>
      <c r="P2" s="313" t="str">
        <f>Upis!P2</f>
        <v>dsj</v>
      </c>
      <c r="Q2" s="313" t="str">
        <f>Upis!Q2</f>
        <v>op1p</v>
      </c>
      <c r="R2" s="313" t="str">
        <f>Upis!R2</f>
        <v>no1p</v>
      </c>
      <c r="S2" s="313" t="str">
        <f>Upis!S2</f>
        <v>op2p</v>
      </c>
      <c r="T2" s="313" t="str">
        <f>Upis!T2</f>
        <v>no2p</v>
      </c>
      <c r="U2" s="313" t="s">
        <v>27</v>
      </c>
      <c r="V2" s="307"/>
    </row>
    <row r="3" spans="1:22" ht="11.25" customHeight="1">
      <c r="A3" s="307">
        <v>1</v>
      </c>
      <c r="B3" s="314" t="str">
        <f>IF(Upis!B3=0," ",Upis!B3)</f>
        <v>Andjelković Jelena</v>
      </c>
      <c r="C3" s="315">
        <f>IF(Upis!C3=0," ",(IF(Upis!C3="n","n",VALUE(Upis!C3))))</f>
        <v>5</v>
      </c>
      <c r="D3" s="315">
        <f>IF(Upis!D3=0," ",(IF(Upis!D3="n","n",VALUE(Upis!D3))))</f>
        <v>5</v>
      </c>
      <c r="E3" s="315">
        <f>IF(Upis!E3=0," ",(IF(Upis!E3="n","n",VALUE(Upis!E3))))</f>
        <v>5</v>
      </c>
      <c r="F3" s="315">
        <f>IF(Upis!F3=0," ",(IF(Upis!F3="n","n",VALUE(Upis!F3))))</f>
        <v>5</v>
      </c>
      <c r="G3" s="315">
        <f>IF(Upis!G3=0," ",(IF(Upis!G3="n","n",VALUE(Upis!G3))))</f>
        <v>5</v>
      </c>
      <c r="H3" s="315">
        <f>IF(Upis!H3=0," ",(IF(Upis!H3="n","n",VALUE(Upis!H3))))</f>
        <v>5</v>
      </c>
      <c r="I3" s="315">
        <f>IF(Upis!I3=0," ",(IF(Upis!I3="n","n",VALUE(Upis!I3))))</f>
        <v>5</v>
      </c>
      <c r="J3" s="315">
        <f>IF(Upis!J3=0," ",(IF(Upis!J3="n","n",VALUE(Upis!J3))))</f>
        <v>5</v>
      </c>
      <c r="K3" s="315">
        <f>IF(Upis!K3=0," ",(IF(Upis!K3="n","n",VALUE(Upis!K3))))</f>
        <v>5</v>
      </c>
      <c r="L3" s="315">
        <f>IF(Upis!L3=0," ",(IF(Upis!L3="n","n",VALUE(Upis!L3))))</f>
        <v>5</v>
      </c>
      <c r="M3" s="315">
        <f>IF(Upis!M3=0," ",(IF(Upis!M3="n","n",VALUE(Upis!M3))))</f>
        <v>5</v>
      </c>
      <c r="N3" s="315">
        <f>IF(Upis!N3=0," ",(IF(Upis!N3="n","n",VALUE(Upis!N3))))</f>
        <v>5</v>
      </c>
      <c r="O3" s="315" t="str">
        <f>IF(Upis!O3=0," ",(IF(Upis!O3="n","n",VALUE(Upis!O3))))</f>
        <v> </v>
      </c>
      <c r="P3" s="315">
        <f>IF(Upis!P3=0," ",(IF(Upis!P3="n","n",VALUE(Upis!P3))))</f>
        <v>5</v>
      </c>
      <c r="Q3" s="315">
        <f>VALUE(Upis!Q3)</f>
        <v>8</v>
      </c>
      <c r="R3" s="315">
        <f>VALUE(Upis!R3)</f>
        <v>1</v>
      </c>
      <c r="S3" s="315">
        <f>VALUE(Upis!S3)</f>
        <v>0</v>
      </c>
      <c r="T3" s="315">
        <f>VALUE(Upis!T3)</f>
        <v>0</v>
      </c>
      <c r="U3" s="315">
        <f>IF(Upis!U3=0," ",(IF(Upis!U3="n","n",VALUE(Upis!U3))))</f>
        <v>5</v>
      </c>
      <c r="V3" s="307"/>
    </row>
    <row r="4" spans="1:22" ht="11.25" customHeight="1">
      <c r="A4" s="307">
        <v>2</v>
      </c>
      <c r="B4" s="314" t="str">
        <f>IF(Upis!B4=0," ",Upis!B4)</f>
        <v>Blagojević Nenad</v>
      </c>
      <c r="C4" s="315">
        <f>IF(Upis!C4=0," ",(IF(Upis!C4="n","n",VALUE(Upis!C4))))</f>
        <v>2</v>
      </c>
      <c r="D4" s="315">
        <f>IF(Upis!D4=0," ",(IF(Upis!D4="n","n",VALUE(Upis!D4))))</f>
        <v>1</v>
      </c>
      <c r="E4" s="315">
        <f>IF(Upis!E4=0," ",(IF(Upis!E4="n","n",VALUE(Upis!E4))))</f>
        <v>4</v>
      </c>
      <c r="F4" s="315">
        <f>IF(Upis!F4=0," ",(IF(Upis!F4="n","n",VALUE(Upis!F4))))</f>
        <v>4</v>
      </c>
      <c r="G4" s="315">
        <f>IF(Upis!G4=0," ",(IF(Upis!G4="n","n",VALUE(Upis!G4))))</f>
        <v>2</v>
      </c>
      <c r="H4" s="315">
        <f>IF(Upis!H4=0," ",(IF(Upis!H4="n","n",VALUE(Upis!H4))))</f>
        <v>4</v>
      </c>
      <c r="I4" s="315">
        <f>IF(Upis!I4=0," ",(IF(Upis!I4="n","n",VALUE(Upis!I4))))</f>
        <v>1</v>
      </c>
      <c r="J4" s="315">
        <f>IF(Upis!J4=0," ",(IF(Upis!J4="n","n",VALUE(Upis!J4))))</f>
        <v>1</v>
      </c>
      <c r="K4" s="315">
        <f>IF(Upis!K4=0," ",(IF(Upis!K4="n","n",VALUE(Upis!K4))))</f>
        <v>2</v>
      </c>
      <c r="L4" s="315">
        <f>IF(Upis!L4=0," ",(IF(Upis!L4="n","n",VALUE(Upis!L4))))</f>
        <v>2</v>
      </c>
      <c r="M4" s="315">
        <f>IF(Upis!M4=0," ",(IF(Upis!M4="n","n",VALUE(Upis!M4))))</f>
        <v>3</v>
      </c>
      <c r="N4" s="315">
        <f>IF(Upis!N4=0," ",(IF(Upis!N4="n","n",VALUE(Upis!N4))))</f>
        <v>5</v>
      </c>
      <c r="O4" s="315" t="str">
        <f>IF(Upis!O4=0," ",(IF(Upis!O4="n","n",VALUE(Upis!O4))))</f>
        <v> </v>
      </c>
      <c r="P4" s="315" t="str">
        <f>IF(Upis!P4=0," ",(IF(Upis!P4="n","n",VALUE(Upis!P4))))</f>
        <v> </v>
      </c>
      <c r="Q4" s="315">
        <f>VALUE(Upis!Q4)</f>
        <v>54</v>
      </c>
      <c r="R4" s="315">
        <f>VALUE(Upis!R4)</f>
        <v>21</v>
      </c>
      <c r="S4" s="315">
        <f>VALUE(Upis!S4)</f>
        <v>0</v>
      </c>
      <c r="T4" s="315">
        <f>VALUE(Upis!T4)</f>
        <v>0</v>
      </c>
      <c r="U4" s="315">
        <f>IF(Upis!U4=0," ",(IF(Upis!U4="n","n",VALUE(Upis!U4))))</f>
        <v>3</v>
      </c>
      <c r="V4" s="307"/>
    </row>
    <row r="5" spans="1:22" ht="11.25" customHeight="1">
      <c r="A5" s="307">
        <v>3</v>
      </c>
      <c r="B5" s="314" t="str">
        <f>IF(Upis!B5=0," ",Upis!B5)</f>
        <v>Bosanac Ana</v>
      </c>
      <c r="C5" s="315">
        <f>IF(Upis!C5=0," ",(IF(Upis!C5="n","n",VALUE(Upis!C5))))</f>
        <v>4</v>
      </c>
      <c r="D5" s="315">
        <f>IF(Upis!D5=0," ",(IF(Upis!D5="n","n",VALUE(Upis!D5))))</f>
        <v>4</v>
      </c>
      <c r="E5" s="315">
        <f>IF(Upis!E5=0," ",(IF(Upis!E5="n","n",VALUE(Upis!E5))))</f>
        <v>5</v>
      </c>
      <c r="F5" s="315">
        <f>IF(Upis!F5=0," ",(IF(Upis!F5="n","n",VALUE(Upis!F5))))</f>
        <v>5</v>
      </c>
      <c r="G5" s="315">
        <f>IF(Upis!G5=0," ",(IF(Upis!G5="n","n",VALUE(Upis!G5))))</f>
        <v>2</v>
      </c>
      <c r="H5" s="315">
        <f>IF(Upis!H5=0," ",(IF(Upis!H5="n","n",VALUE(Upis!H5))))</f>
        <v>5</v>
      </c>
      <c r="I5" s="315">
        <f>IF(Upis!I5=0," ",(IF(Upis!I5="n","n",VALUE(Upis!I5))))</f>
        <v>3</v>
      </c>
      <c r="J5" s="315">
        <f>IF(Upis!J5=0," ",(IF(Upis!J5="n","n",VALUE(Upis!J5))))</f>
        <v>4</v>
      </c>
      <c r="K5" s="315">
        <f>IF(Upis!K5=0," ",(IF(Upis!K5="n","n",VALUE(Upis!K5))))</f>
        <v>3</v>
      </c>
      <c r="L5" s="315">
        <f>IF(Upis!L5=0," ",(IF(Upis!L5="n","n",VALUE(Upis!L5))))</f>
        <v>3</v>
      </c>
      <c r="M5" s="315">
        <f>IF(Upis!M5=0," ",(IF(Upis!M5="n","n",VALUE(Upis!M5))))</f>
        <v>5</v>
      </c>
      <c r="N5" s="315">
        <f>IF(Upis!N5=0," ",(IF(Upis!N5="n","n",VALUE(Upis!N5))))</f>
        <v>5</v>
      </c>
      <c r="O5" s="315">
        <f>IF(Upis!O5=0," ",(IF(Upis!O5="n","n",VALUE(Upis!O5))))</f>
        <v>5</v>
      </c>
      <c r="P5" s="315">
        <f>IF(Upis!P5=0," ",(IF(Upis!P5="n","n",VALUE(Upis!P5))))</f>
        <v>3</v>
      </c>
      <c r="Q5" s="315">
        <f>VALUE(Upis!Q5)</f>
        <v>49</v>
      </c>
      <c r="R5" s="315">
        <f>VALUE(Upis!R5)</f>
        <v>3</v>
      </c>
      <c r="S5" s="315">
        <f>VALUE(Upis!S5)</f>
        <v>0</v>
      </c>
      <c r="T5" s="315">
        <f>VALUE(Upis!T5)</f>
        <v>0</v>
      </c>
      <c r="U5" s="315">
        <f>IF(Upis!U5=0," ",(IF(Upis!U5="n","n",VALUE(Upis!U5))))</f>
        <v>5</v>
      </c>
      <c r="V5" s="307"/>
    </row>
    <row r="6" spans="1:22" ht="11.25" customHeight="1">
      <c r="A6" s="307">
        <v>4</v>
      </c>
      <c r="B6" s="314" t="str">
        <f>IF(Upis!B6=0," ",Upis!B6)</f>
        <v>Brković Olivera</v>
      </c>
      <c r="C6" s="315">
        <f>IF(Upis!C6=0," ",(IF(Upis!C6="n","n",VALUE(Upis!C6))))</f>
        <v>5</v>
      </c>
      <c r="D6" s="315">
        <f>IF(Upis!D6=0," ",(IF(Upis!D6="n","n",VALUE(Upis!D6))))</f>
        <v>5</v>
      </c>
      <c r="E6" s="315">
        <f>IF(Upis!E6=0," ",(IF(Upis!E6="n","n",VALUE(Upis!E6))))</f>
        <v>5</v>
      </c>
      <c r="F6" s="315">
        <f>IF(Upis!F6=0," ",(IF(Upis!F6="n","n",VALUE(Upis!F6))))</f>
        <v>5</v>
      </c>
      <c r="G6" s="315">
        <f>IF(Upis!G6=0," ",(IF(Upis!G6="n","n",VALUE(Upis!G6))))</f>
        <v>5</v>
      </c>
      <c r="H6" s="315">
        <f>IF(Upis!H6=0," ",(IF(Upis!H6="n","n",VALUE(Upis!H6))))</f>
        <v>5</v>
      </c>
      <c r="I6" s="315">
        <f>IF(Upis!I6=0," ",(IF(Upis!I6="n","n",VALUE(Upis!I6))))</f>
        <v>5</v>
      </c>
      <c r="J6" s="315">
        <f>IF(Upis!J6=0," ",(IF(Upis!J6="n","n",VALUE(Upis!J6))))</f>
        <v>5</v>
      </c>
      <c r="K6" s="315">
        <f>IF(Upis!K6=0," ",(IF(Upis!K6="n","n",VALUE(Upis!K6))))</f>
        <v>5</v>
      </c>
      <c r="L6" s="315">
        <f>IF(Upis!L6=0," ",(IF(Upis!L6="n","n",VALUE(Upis!L6))))</f>
        <v>5</v>
      </c>
      <c r="M6" s="315">
        <f>IF(Upis!M6=0," ",(IF(Upis!M6="n","n",VALUE(Upis!M6))))</f>
        <v>5</v>
      </c>
      <c r="N6" s="315">
        <f>IF(Upis!N6=0," ",(IF(Upis!N6="n","n",VALUE(Upis!N6))))</f>
        <v>5</v>
      </c>
      <c r="O6" s="315">
        <f>IF(Upis!O6=0," ",(IF(Upis!O6="n","n",VALUE(Upis!O6))))</f>
        <v>5</v>
      </c>
      <c r="P6" s="315">
        <f>IF(Upis!P6=0," ",(IF(Upis!P6="n","n",VALUE(Upis!P6))))</f>
        <v>5</v>
      </c>
      <c r="Q6" s="315">
        <f>VALUE(Upis!Q6)</f>
        <v>29</v>
      </c>
      <c r="R6" s="315">
        <f>VALUE(Upis!R6)</f>
        <v>0</v>
      </c>
      <c r="S6" s="315">
        <f>VALUE(Upis!S6)</f>
        <v>0</v>
      </c>
      <c r="T6" s="315">
        <f>VALUE(Upis!T6)</f>
        <v>0</v>
      </c>
      <c r="U6" s="315">
        <f>IF(Upis!U6=0," ",(IF(Upis!U6="n","n",VALUE(Upis!U6))))</f>
        <v>5</v>
      </c>
      <c r="V6" s="307"/>
    </row>
    <row r="7" spans="1:22" ht="11.25" customHeight="1">
      <c r="A7" s="307">
        <v>5</v>
      </c>
      <c r="B7" s="314" t="str">
        <f>IF(Upis!B7=0," ",Upis!B7)</f>
        <v>Veselinović Nemanja</v>
      </c>
      <c r="C7" s="315">
        <f>IF(Upis!C7=0," ",(IF(Upis!C7="n","n",VALUE(Upis!C7))))</f>
        <v>3</v>
      </c>
      <c r="D7" s="315">
        <f>IF(Upis!D7=0," ",(IF(Upis!D7="n","n",VALUE(Upis!D7))))</f>
        <v>4</v>
      </c>
      <c r="E7" s="315">
        <f>IF(Upis!E7=0," ",(IF(Upis!E7="n","n",VALUE(Upis!E7))))</f>
        <v>4</v>
      </c>
      <c r="F7" s="315">
        <f>IF(Upis!F7=0," ",(IF(Upis!F7="n","n",VALUE(Upis!F7))))</f>
        <v>4</v>
      </c>
      <c r="G7" s="315">
        <f>IF(Upis!G7=0," ",(IF(Upis!G7="n","n",VALUE(Upis!G7))))</f>
        <v>3</v>
      </c>
      <c r="H7" s="315">
        <f>IF(Upis!H7=0," ",(IF(Upis!H7="n","n",VALUE(Upis!H7))))</f>
        <v>5</v>
      </c>
      <c r="I7" s="315">
        <f>IF(Upis!I7=0," ",(IF(Upis!I7="n","n",VALUE(Upis!I7))))</f>
        <v>1</v>
      </c>
      <c r="J7" s="315">
        <f>IF(Upis!J7=0," ",(IF(Upis!J7="n","n",VALUE(Upis!J7))))</f>
        <v>2</v>
      </c>
      <c r="K7" s="315">
        <f>IF(Upis!K7=0," ",(IF(Upis!K7="n","n",VALUE(Upis!K7))))</f>
        <v>4</v>
      </c>
      <c r="L7" s="315">
        <f>IF(Upis!L7=0," ",(IF(Upis!L7="n","n",VALUE(Upis!L7))))</f>
        <v>3</v>
      </c>
      <c r="M7" s="315">
        <f>IF(Upis!M7=0," ",(IF(Upis!M7="n","n",VALUE(Upis!M7))))</f>
        <v>3</v>
      </c>
      <c r="N7" s="315">
        <f>IF(Upis!N7=0," ",(IF(Upis!N7="n","n",VALUE(Upis!N7))))</f>
        <v>5</v>
      </c>
      <c r="O7" s="315" t="str">
        <f>IF(Upis!O7=0," ",(IF(Upis!O7="n","n",VALUE(Upis!O7))))</f>
        <v> </v>
      </c>
      <c r="P7" s="315">
        <f>IF(Upis!P7=0," ",(IF(Upis!P7="n","n",VALUE(Upis!P7))))</f>
        <v>1</v>
      </c>
      <c r="Q7" s="315">
        <f>VALUE(Upis!Q7)</f>
        <v>25</v>
      </c>
      <c r="R7" s="315">
        <f>VALUE(Upis!R7)</f>
        <v>17</v>
      </c>
      <c r="S7" s="315">
        <f>VALUE(Upis!S7)</f>
        <v>0</v>
      </c>
      <c r="T7" s="315">
        <f>VALUE(Upis!T7)</f>
        <v>0</v>
      </c>
      <c r="U7" s="315">
        <f>IF(Upis!U7=0," ",(IF(Upis!U7="n","n",VALUE(Upis!U7))))</f>
        <v>3</v>
      </c>
      <c r="V7" s="307"/>
    </row>
    <row r="8" spans="1:22" ht="11.25" customHeight="1">
      <c r="A8" s="307">
        <v>6</v>
      </c>
      <c r="B8" s="314" t="str">
        <f>IF(Upis!B8=0," ",Upis!B8)</f>
        <v>Gligorijević Grigorije</v>
      </c>
      <c r="C8" s="315">
        <f>IF(Upis!C8=0," ",(IF(Upis!C8="n","n",VALUE(Upis!C8))))</f>
        <v>4</v>
      </c>
      <c r="D8" s="315">
        <f>IF(Upis!D8=0," ",(IF(Upis!D8="n","n",VALUE(Upis!D8))))</f>
        <v>2</v>
      </c>
      <c r="E8" s="315">
        <f>IF(Upis!E8=0," ",(IF(Upis!E8="n","n",VALUE(Upis!E8))))</f>
        <v>5</v>
      </c>
      <c r="F8" s="315">
        <f>IF(Upis!F8=0," ",(IF(Upis!F8="n","n",VALUE(Upis!F8))))</f>
        <v>5</v>
      </c>
      <c r="G8" s="315">
        <f>IF(Upis!G8=0," ",(IF(Upis!G8="n","n",VALUE(Upis!G8))))</f>
        <v>2</v>
      </c>
      <c r="H8" s="315">
        <f>IF(Upis!H8=0," ",(IF(Upis!H8="n","n",VALUE(Upis!H8))))</f>
        <v>5</v>
      </c>
      <c r="I8" s="315">
        <f>IF(Upis!I8=0," ",(IF(Upis!I8="n","n",VALUE(Upis!I8))))</f>
        <v>1</v>
      </c>
      <c r="J8" s="315">
        <f>IF(Upis!J8=0," ",(IF(Upis!J8="n","n",VALUE(Upis!J8))))</f>
        <v>1</v>
      </c>
      <c r="K8" s="315">
        <f>IF(Upis!K8=0," ",(IF(Upis!K8="n","n",VALUE(Upis!K8))))</f>
        <v>5</v>
      </c>
      <c r="L8" s="315">
        <f>IF(Upis!L8=0," ",(IF(Upis!L8="n","n",VALUE(Upis!L8))))</f>
        <v>3</v>
      </c>
      <c r="M8" s="315">
        <f>IF(Upis!M8=0," ",(IF(Upis!M8="n","n",VALUE(Upis!M8))))</f>
        <v>5</v>
      </c>
      <c r="N8" s="315">
        <f>IF(Upis!N8=0," ",(IF(Upis!N8="n","n",VALUE(Upis!N8))))</f>
        <v>5</v>
      </c>
      <c r="O8" s="315">
        <f>IF(Upis!O8=0," ",(IF(Upis!O8="n","n",VALUE(Upis!O8))))</f>
        <v>5</v>
      </c>
      <c r="P8" s="315" t="str">
        <f>IF(Upis!P8=0," ",(IF(Upis!P8="n","n",VALUE(Upis!P8))))</f>
        <v> </v>
      </c>
      <c r="Q8" s="315">
        <f>VALUE(Upis!Q8)</f>
        <v>19</v>
      </c>
      <c r="R8" s="315">
        <f>VALUE(Upis!R8)</f>
        <v>0</v>
      </c>
      <c r="S8" s="315">
        <f>VALUE(Upis!S8)</f>
        <v>0</v>
      </c>
      <c r="T8" s="315">
        <f>VALUE(Upis!T8)</f>
        <v>0</v>
      </c>
      <c r="U8" s="315">
        <f>IF(Upis!U8=0," ",(IF(Upis!U8="n","n",VALUE(Upis!U8))))</f>
        <v>5</v>
      </c>
      <c r="V8" s="307"/>
    </row>
    <row r="9" spans="1:22" ht="11.25" customHeight="1">
      <c r="A9" s="307">
        <v>7</v>
      </c>
      <c r="B9" s="314" t="str">
        <f>IF(Upis!B9=0," ",Upis!B9)</f>
        <v>Djordjević Ivana</v>
      </c>
      <c r="C9" s="315">
        <f>IF(Upis!C9=0," ",(IF(Upis!C9="n","n",VALUE(Upis!C9))))</f>
        <v>4</v>
      </c>
      <c r="D9" s="315">
        <f>IF(Upis!D9=0," ",(IF(Upis!D9="n","n",VALUE(Upis!D9))))</f>
        <v>3</v>
      </c>
      <c r="E9" s="315">
        <f>IF(Upis!E9=0," ",(IF(Upis!E9="n","n",VALUE(Upis!E9))))</f>
        <v>4</v>
      </c>
      <c r="F9" s="315">
        <f>IF(Upis!F9=0," ",(IF(Upis!F9="n","n",VALUE(Upis!F9))))</f>
        <v>5</v>
      </c>
      <c r="G9" s="315">
        <f>IF(Upis!G9=0," ",(IF(Upis!G9="n","n",VALUE(Upis!G9))))</f>
        <v>2</v>
      </c>
      <c r="H9" s="315">
        <f>IF(Upis!H9=0," ",(IF(Upis!H9="n","n",VALUE(Upis!H9))))</f>
        <v>4</v>
      </c>
      <c r="I9" s="315">
        <f>IF(Upis!I9=0," ",(IF(Upis!I9="n","n",VALUE(Upis!I9))))</f>
        <v>3</v>
      </c>
      <c r="J9" s="315">
        <f>IF(Upis!J9=0," ",(IF(Upis!J9="n","n",VALUE(Upis!J9))))</f>
        <v>2</v>
      </c>
      <c r="K9" s="315">
        <f>IF(Upis!K9=0," ",(IF(Upis!K9="n","n",VALUE(Upis!K9))))</f>
        <v>3</v>
      </c>
      <c r="L9" s="315">
        <f>IF(Upis!L9=0," ",(IF(Upis!L9="n","n",VALUE(Upis!L9))))</f>
        <v>2</v>
      </c>
      <c r="M9" s="315">
        <f>IF(Upis!M9=0," ",(IF(Upis!M9="n","n",VALUE(Upis!M9))))</f>
        <v>5</v>
      </c>
      <c r="N9" s="315">
        <f>IF(Upis!N9=0," ",(IF(Upis!N9="n","n",VALUE(Upis!N9))))</f>
        <v>4</v>
      </c>
      <c r="O9" s="315">
        <f>IF(Upis!O9=0," ",(IF(Upis!O9="n","n",VALUE(Upis!O9))))</f>
        <v>2</v>
      </c>
      <c r="P9" s="315">
        <f>IF(Upis!P9=0," ",(IF(Upis!P9="n","n",VALUE(Upis!P9))))</f>
        <v>1</v>
      </c>
      <c r="Q9" s="315">
        <f>VALUE(Upis!Q9)</f>
        <v>97</v>
      </c>
      <c r="R9" s="315">
        <f>VALUE(Upis!R9)</f>
        <v>7</v>
      </c>
      <c r="S9" s="315">
        <f>VALUE(Upis!S9)</f>
        <v>0</v>
      </c>
      <c r="T9" s="315">
        <f>VALUE(Upis!T9)</f>
        <v>0</v>
      </c>
      <c r="U9" s="315">
        <f>IF(Upis!U9=0," ",(IF(Upis!U9="n","n",VALUE(Upis!U9))))</f>
        <v>5</v>
      </c>
      <c r="V9" s="307"/>
    </row>
    <row r="10" spans="1:22" ht="11.25" customHeight="1">
      <c r="A10" s="307">
        <v>8</v>
      </c>
      <c r="B10" s="314" t="str">
        <f>IF(Upis!B10=0," ",Upis!B10)</f>
        <v>Ivković Jelena</v>
      </c>
      <c r="C10" s="315">
        <f>IF(Upis!C10=0," ",(IF(Upis!C10="n","n",VALUE(Upis!C10))))</f>
        <v>5</v>
      </c>
      <c r="D10" s="315">
        <f>IF(Upis!D10=0," ",(IF(Upis!D10="n","n",VALUE(Upis!D10))))</f>
        <v>4</v>
      </c>
      <c r="E10" s="315">
        <f>IF(Upis!E10=0," ",(IF(Upis!E10="n","n",VALUE(Upis!E10))))</f>
        <v>5</v>
      </c>
      <c r="F10" s="315">
        <f>IF(Upis!F10=0," ",(IF(Upis!F10="n","n",VALUE(Upis!F10))))</f>
        <v>5</v>
      </c>
      <c r="G10" s="315">
        <f>IF(Upis!G10=0," ",(IF(Upis!G10="n","n",VALUE(Upis!G10))))</f>
        <v>4</v>
      </c>
      <c r="H10" s="315">
        <f>IF(Upis!H10=0," ",(IF(Upis!H10="n","n",VALUE(Upis!H10))))</f>
        <v>5</v>
      </c>
      <c r="I10" s="315">
        <f>IF(Upis!I10=0," ",(IF(Upis!I10="n","n",VALUE(Upis!I10))))</f>
        <v>4</v>
      </c>
      <c r="J10" s="315">
        <f>IF(Upis!J10=0," ",(IF(Upis!J10="n","n",VALUE(Upis!J10))))</f>
        <v>3</v>
      </c>
      <c r="K10" s="315">
        <f>IF(Upis!K10=0," ",(IF(Upis!K10="n","n",VALUE(Upis!K10))))</f>
        <v>4</v>
      </c>
      <c r="L10" s="315">
        <f>IF(Upis!L10=0," ",(IF(Upis!L10="n","n",VALUE(Upis!L10))))</f>
        <v>4</v>
      </c>
      <c r="M10" s="315">
        <f>IF(Upis!M10=0," ",(IF(Upis!M10="n","n",VALUE(Upis!M10))))</f>
        <v>5</v>
      </c>
      <c r="N10" s="315">
        <f>IF(Upis!N10=0," ",(IF(Upis!N10="n","n",VALUE(Upis!N10))))</f>
        <v>5</v>
      </c>
      <c r="O10" s="315" t="str">
        <f>IF(Upis!O10=0," ",(IF(Upis!O10="n","n",VALUE(Upis!O10))))</f>
        <v> </v>
      </c>
      <c r="P10" s="315" t="str">
        <f>IF(Upis!P10=0," ",(IF(Upis!P10="n","n",VALUE(Upis!P10))))</f>
        <v> </v>
      </c>
      <c r="Q10" s="315">
        <f>VALUE(Upis!Q10)</f>
        <v>68</v>
      </c>
      <c r="R10" s="315">
        <f>VALUE(Upis!R10)</f>
        <v>4</v>
      </c>
      <c r="S10" s="315">
        <f>VALUE(Upis!S10)</f>
        <v>0</v>
      </c>
      <c r="T10" s="315">
        <f>VALUE(Upis!T10)</f>
        <v>0</v>
      </c>
      <c r="U10" s="315">
        <f>IF(Upis!U10=0," ",(IF(Upis!U10="n","n",VALUE(Upis!U10))))</f>
        <v>5</v>
      </c>
      <c r="V10" s="307"/>
    </row>
    <row r="11" spans="1:22" ht="11.25" customHeight="1">
      <c r="A11" s="307">
        <v>9</v>
      </c>
      <c r="B11" s="314" t="str">
        <f>IF(Upis!B11=0," ",Upis!B11)</f>
        <v>Jelisavac Jovana</v>
      </c>
      <c r="C11" s="315">
        <f>IF(Upis!C11=0," ",(IF(Upis!C11="n","n",VALUE(Upis!C11))))</f>
        <v>5</v>
      </c>
      <c r="D11" s="315">
        <f>IF(Upis!D11=0," ",(IF(Upis!D11="n","n",VALUE(Upis!D11))))</f>
        <v>5</v>
      </c>
      <c r="E11" s="315">
        <f>IF(Upis!E11=0," ",(IF(Upis!E11="n","n",VALUE(Upis!E11))))</f>
        <v>5</v>
      </c>
      <c r="F11" s="315">
        <f>IF(Upis!F11=0," ",(IF(Upis!F11="n","n",VALUE(Upis!F11))))</f>
        <v>5</v>
      </c>
      <c r="G11" s="315">
        <f>IF(Upis!G11=0," ",(IF(Upis!G11="n","n",VALUE(Upis!G11))))</f>
        <v>5</v>
      </c>
      <c r="H11" s="315">
        <f>IF(Upis!H11=0," ",(IF(Upis!H11="n","n",VALUE(Upis!H11))))</f>
        <v>5</v>
      </c>
      <c r="I11" s="315">
        <f>IF(Upis!I11=0," ",(IF(Upis!I11="n","n",VALUE(Upis!I11))))</f>
        <v>5</v>
      </c>
      <c r="J11" s="315">
        <f>IF(Upis!J11=0," ",(IF(Upis!J11="n","n",VALUE(Upis!J11))))</f>
        <v>5</v>
      </c>
      <c r="K11" s="315">
        <f>IF(Upis!K11=0," ",(IF(Upis!K11="n","n",VALUE(Upis!K11))))</f>
        <v>5</v>
      </c>
      <c r="L11" s="315">
        <f>IF(Upis!L11=0," ",(IF(Upis!L11="n","n",VALUE(Upis!L11))))</f>
        <v>5</v>
      </c>
      <c r="M11" s="315">
        <f>IF(Upis!M11=0," ",(IF(Upis!M11="n","n",VALUE(Upis!M11))))</f>
        <v>5</v>
      </c>
      <c r="N11" s="315">
        <f>IF(Upis!N11=0," ",(IF(Upis!N11="n","n",VALUE(Upis!N11))))</f>
        <v>5</v>
      </c>
      <c r="O11" s="315" t="str">
        <f>IF(Upis!O11=0," ",(IF(Upis!O11="n","n",VALUE(Upis!O11))))</f>
        <v> </v>
      </c>
      <c r="P11" s="315">
        <f>IF(Upis!P11=0," ",(IF(Upis!P11="n","n",VALUE(Upis!P11))))</f>
        <v>5</v>
      </c>
      <c r="Q11" s="315">
        <f>VALUE(Upis!Q11)</f>
        <v>60</v>
      </c>
      <c r="R11" s="315">
        <f>VALUE(Upis!R11)</f>
        <v>1</v>
      </c>
      <c r="S11" s="315">
        <f>VALUE(Upis!S11)</f>
        <v>0</v>
      </c>
      <c r="T11" s="315">
        <f>VALUE(Upis!T11)</f>
        <v>0</v>
      </c>
      <c r="U11" s="315">
        <f>IF(Upis!U11=0," ",(IF(Upis!U11="n","n",VALUE(Upis!U11))))</f>
        <v>5</v>
      </c>
      <c r="V11" s="307"/>
    </row>
    <row r="12" spans="1:22" ht="11.25" customHeight="1">
      <c r="A12" s="307">
        <v>10</v>
      </c>
      <c r="B12" s="314" t="str">
        <f>IF(Upis!B12=0," ",Upis!B12)</f>
        <v>Knežić Filip</v>
      </c>
      <c r="C12" s="315">
        <f>IF(Upis!C12=0," ",(IF(Upis!C12="n","n",VALUE(Upis!C12))))</f>
        <v>4</v>
      </c>
      <c r="D12" s="315">
        <f>IF(Upis!D12=0," ",(IF(Upis!D12="n","n",VALUE(Upis!D12))))</f>
        <v>4</v>
      </c>
      <c r="E12" s="315">
        <f>IF(Upis!E12=0," ",(IF(Upis!E12="n","n",VALUE(Upis!E12))))</f>
        <v>5</v>
      </c>
      <c r="F12" s="315">
        <f>IF(Upis!F12=0," ",(IF(Upis!F12="n","n",VALUE(Upis!F12))))</f>
        <v>5</v>
      </c>
      <c r="G12" s="315">
        <f>IF(Upis!G12=0," ",(IF(Upis!G12="n","n",VALUE(Upis!G12))))</f>
        <v>3</v>
      </c>
      <c r="H12" s="315">
        <f>IF(Upis!H12=0," ",(IF(Upis!H12="n","n",VALUE(Upis!H12))))</f>
        <v>5</v>
      </c>
      <c r="I12" s="315">
        <f>IF(Upis!I12=0," ",(IF(Upis!I12="n","n",VALUE(Upis!I12))))</f>
        <v>2</v>
      </c>
      <c r="J12" s="315">
        <f>IF(Upis!J12=0," ",(IF(Upis!J12="n","n",VALUE(Upis!J12))))</f>
        <v>2</v>
      </c>
      <c r="K12" s="315">
        <f>IF(Upis!K12=0," ",(IF(Upis!K12="n","n",VALUE(Upis!K12))))</f>
        <v>3</v>
      </c>
      <c r="L12" s="315">
        <f>IF(Upis!L12=0," ",(IF(Upis!L12="n","n",VALUE(Upis!L12))))</f>
        <v>2</v>
      </c>
      <c r="M12" s="315">
        <f>IF(Upis!M12=0," ",(IF(Upis!M12="n","n",VALUE(Upis!M12))))</f>
        <v>5</v>
      </c>
      <c r="N12" s="315">
        <f>IF(Upis!N12=0," ",(IF(Upis!N12="n","n",VALUE(Upis!N12))))</f>
        <v>5</v>
      </c>
      <c r="O12" s="315">
        <f>IF(Upis!O12=0," ",(IF(Upis!O12="n","n",VALUE(Upis!O12))))</f>
        <v>4</v>
      </c>
      <c r="P12" s="315">
        <f>IF(Upis!P12=0," ",(IF(Upis!P12="n","n",VALUE(Upis!P12))))</f>
        <v>2</v>
      </c>
      <c r="Q12" s="315">
        <f>VALUE(Upis!Q12)</f>
        <v>55</v>
      </c>
      <c r="R12" s="315">
        <f>VALUE(Upis!R12)</f>
        <v>0</v>
      </c>
      <c r="S12" s="315">
        <f>VALUE(Upis!S12)</f>
        <v>0</v>
      </c>
      <c r="T12" s="315">
        <f>VALUE(Upis!T12)</f>
        <v>0</v>
      </c>
      <c r="U12" s="315">
        <f>IF(Upis!U12=0," ",(IF(Upis!U12="n","n",VALUE(Upis!U12))))</f>
        <v>5</v>
      </c>
      <c r="V12" s="307"/>
    </row>
    <row r="13" spans="1:22" ht="11.25" customHeight="1">
      <c r="A13" s="307">
        <v>11</v>
      </c>
      <c r="B13" s="314" t="str">
        <f>IF(Upis!B13=0," ",Upis!B13)</f>
        <v>Lazarević Milena</v>
      </c>
      <c r="C13" s="315">
        <f>IF(Upis!C13=0," ",(IF(Upis!C13="n","n",VALUE(Upis!C13))))</f>
        <v>2</v>
      </c>
      <c r="D13" s="315">
        <f>IF(Upis!D13=0," ",(IF(Upis!D13="n","n",VALUE(Upis!D13))))</f>
        <v>2</v>
      </c>
      <c r="E13" s="315">
        <f>IF(Upis!E13=0," ",(IF(Upis!E13="n","n",VALUE(Upis!E13))))</f>
        <v>4</v>
      </c>
      <c r="F13" s="315">
        <f>IF(Upis!F13=0," ",(IF(Upis!F13="n","n",VALUE(Upis!F13))))</f>
        <v>3</v>
      </c>
      <c r="G13" s="315">
        <f>IF(Upis!G13=0," ",(IF(Upis!G13="n","n",VALUE(Upis!G13))))</f>
        <v>2</v>
      </c>
      <c r="H13" s="315">
        <f>IF(Upis!H13=0," ",(IF(Upis!H13="n","n",VALUE(Upis!H13))))</f>
        <v>3</v>
      </c>
      <c r="I13" s="315">
        <f>IF(Upis!I13=0," ",(IF(Upis!I13="n","n",VALUE(Upis!I13))))</f>
        <v>1</v>
      </c>
      <c r="J13" s="315">
        <f>IF(Upis!J13=0," ",(IF(Upis!J13="n","n",VALUE(Upis!J13))))</f>
        <v>1</v>
      </c>
      <c r="K13" s="315">
        <f>IF(Upis!K13=0," ",(IF(Upis!K13="n","n",VALUE(Upis!K13))))</f>
        <v>2</v>
      </c>
      <c r="L13" s="315">
        <f>IF(Upis!L13=0," ",(IF(Upis!L13="n","n",VALUE(Upis!L13))))</f>
        <v>2</v>
      </c>
      <c r="M13" s="315">
        <f>IF(Upis!M13=0," ",(IF(Upis!M13="n","n",VALUE(Upis!M13))))</f>
        <v>3</v>
      </c>
      <c r="N13" s="315">
        <f>IF(Upis!N13=0," ",(IF(Upis!N13="n","n",VALUE(Upis!N13))))</f>
        <v>4</v>
      </c>
      <c r="O13" s="315" t="str">
        <f>IF(Upis!O13=0," ",(IF(Upis!O13="n","n",VALUE(Upis!O13))))</f>
        <v> </v>
      </c>
      <c r="P13" s="315" t="str">
        <f>IF(Upis!P13=0," ",(IF(Upis!P13="n","n",VALUE(Upis!P13))))</f>
        <v> </v>
      </c>
      <c r="Q13" s="315">
        <f>VALUE(Upis!Q13)</f>
        <v>30</v>
      </c>
      <c r="R13" s="315">
        <f>VALUE(Upis!R13)</f>
        <v>13</v>
      </c>
      <c r="S13" s="315">
        <f>VALUE(Upis!S13)</f>
        <v>0</v>
      </c>
      <c r="T13" s="315">
        <f>VALUE(Upis!T13)</f>
        <v>0</v>
      </c>
      <c r="U13" s="315">
        <f>IF(Upis!U13=0," ",(IF(Upis!U13="n","n",VALUE(Upis!U13))))</f>
        <v>4</v>
      </c>
      <c r="V13" s="307"/>
    </row>
    <row r="14" spans="1:22" ht="11.25" customHeight="1">
      <c r="A14" s="307">
        <v>12</v>
      </c>
      <c r="B14" s="314" t="str">
        <f>IF(Upis!B14=0," ",Upis!B14)</f>
        <v>Masleša Marija</v>
      </c>
      <c r="C14" s="315">
        <f>IF(Upis!C14=0," ",(IF(Upis!C14="n","n",VALUE(Upis!C14))))</f>
        <v>5</v>
      </c>
      <c r="D14" s="315">
        <f>IF(Upis!D14=0," ",(IF(Upis!D14="n","n",VALUE(Upis!D14))))</f>
        <v>5</v>
      </c>
      <c r="E14" s="315">
        <f>IF(Upis!E14=0," ",(IF(Upis!E14="n","n",VALUE(Upis!E14))))</f>
        <v>5</v>
      </c>
      <c r="F14" s="315">
        <f>IF(Upis!F14=0," ",(IF(Upis!F14="n","n",VALUE(Upis!F14))))</f>
        <v>5</v>
      </c>
      <c r="G14" s="315">
        <f>IF(Upis!G14=0," ",(IF(Upis!G14="n","n",VALUE(Upis!G14))))</f>
        <v>5</v>
      </c>
      <c r="H14" s="315">
        <f>IF(Upis!H14=0," ",(IF(Upis!H14="n","n",VALUE(Upis!H14))))</f>
        <v>5</v>
      </c>
      <c r="I14" s="315">
        <f>IF(Upis!I14=0," ",(IF(Upis!I14="n","n",VALUE(Upis!I14))))</f>
        <v>4</v>
      </c>
      <c r="J14" s="315">
        <f>IF(Upis!J14=0," ",(IF(Upis!J14="n","n",VALUE(Upis!J14))))</f>
        <v>5</v>
      </c>
      <c r="K14" s="315">
        <f>IF(Upis!K14=0," ",(IF(Upis!K14="n","n",VALUE(Upis!K14))))</f>
        <v>5</v>
      </c>
      <c r="L14" s="315">
        <f>IF(Upis!L14=0," ",(IF(Upis!L14="n","n",VALUE(Upis!L14))))</f>
        <v>5</v>
      </c>
      <c r="M14" s="315">
        <f>IF(Upis!M14=0," ",(IF(Upis!M14="n","n",VALUE(Upis!M14))))</f>
        <v>5</v>
      </c>
      <c r="N14" s="315">
        <f>IF(Upis!N14=0," ",(IF(Upis!N14="n","n",VALUE(Upis!N14))))</f>
        <v>5</v>
      </c>
      <c r="O14" s="315">
        <f>IF(Upis!O14=0," ",(IF(Upis!O14="n","n",VALUE(Upis!O14))))</f>
        <v>5</v>
      </c>
      <c r="P14" s="315">
        <f>IF(Upis!P14=0," ",(IF(Upis!P14="n","n",VALUE(Upis!P14))))</f>
        <v>5</v>
      </c>
      <c r="Q14" s="315">
        <f>VALUE(Upis!Q14)</f>
        <v>50</v>
      </c>
      <c r="R14" s="315">
        <f>VALUE(Upis!R14)</f>
        <v>4</v>
      </c>
      <c r="S14" s="315">
        <f>VALUE(Upis!S14)</f>
        <v>0</v>
      </c>
      <c r="T14" s="315">
        <f>VALUE(Upis!T14)</f>
        <v>0</v>
      </c>
      <c r="U14" s="315">
        <f>IF(Upis!U14=0," ",(IF(Upis!U14="n","n",VALUE(Upis!U14))))</f>
        <v>5</v>
      </c>
      <c r="V14" s="307"/>
    </row>
    <row r="15" spans="1:22" ht="11.25" customHeight="1">
      <c r="A15" s="307">
        <v>13</v>
      </c>
      <c r="B15" s="314" t="str">
        <f>IF(Upis!B15=0," ",Upis!B15)</f>
        <v>Mijajlović Marko</v>
      </c>
      <c r="C15" s="315">
        <f>IF(Upis!C15=0," ",(IF(Upis!C15="n","n",VALUE(Upis!C15))))</f>
        <v>5</v>
      </c>
      <c r="D15" s="315">
        <f>IF(Upis!D15=0," ",(IF(Upis!D15="n","n",VALUE(Upis!D15))))</f>
        <v>4</v>
      </c>
      <c r="E15" s="315">
        <f>IF(Upis!E15=0," ",(IF(Upis!E15="n","n",VALUE(Upis!E15))))</f>
        <v>5</v>
      </c>
      <c r="F15" s="315">
        <f>IF(Upis!F15=0," ",(IF(Upis!F15="n","n",VALUE(Upis!F15))))</f>
        <v>5</v>
      </c>
      <c r="G15" s="315">
        <f>IF(Upis!G15=0," ",(IF(Upis!G15="n","n",VALUE(Upis!G15))))</f>
        <v>4</v>
      </c>
      <c r="H15" s="315">
        <f>IF(Upis!H15=0," ",(IF(Upis!H15="n","n",VALUE(Upis!H15))))</f>
        <v>5</v>
      </c>
      <c r="I15" s="315">
        <f>IF(Upis!I15=0," ",(IF(Upis!I15="n","n",VALUE(Upis!I15))))</f>
        <v>3</v>
      </c>
      <c r="J15" s="315">
        <f>IF(Upis!J15=0," ",(IF(Upis!J15="n","n",VALUE(Upis!J15))))</f>
        <v>3</v>
      </c>
      <c r="K15" s="315">
        <f>IF(Upis!K15=0," ",(IF(Upis!K15="n","n",VALUE(Upis!K15))))</f>
        <v>5</v>
      </c>
      <c r="L15" s="315">
        <f>IF(Upis!L15=0," ",(IF(Upis!L15="n","n",VALUE(Upis!L15))))</f>
        <v>3</v>
      </c>
      <c r="M15" s="315">
        <f>IF(Upis!M15=0," ",(IF(Upis!M15="n","n",VALUE(Upis!M15))))</f>
        <v>5</v>
      </c>
      <c r="N15" s="315">
        <f>IF(Upis!N15=0," ",(IF(Upis!N15="n","n",VALUE(Upis!N15))))</f>
        <v>5</v>
      </c>
      <c r="O15" s="315">
        <f>IF(Upis!O15=0," ",(IF(Upis!O15="n","n",VALUE(Upis!O15))))</f>
        <v>5</v>
      </c>
      <c r="P15" s="315" t="str">
        <f>IF(Upis!P15=0," ",(IF(Upis!P15="n","n",VALUE(Upis!P15))))</f>
        <v> </v>
      </c>
      <c r="Q15" s="315">
        <f>VALUE(Upis!Q15)</f>
        <v>27</v>
      </c>
      <c r="R15" s="315">
        <f>VALUE(Upis!R15)</f>
        <v>0</v>
      </c>
      <c r="S15" s="315">
        <f>VALUE(Upis!S15)</f>
        <v>0</v>
      </c>
      <c r="T15" s="315">
        <f>VALUE(Upis!T15)</f>
        <v>0</v>
      </c>
      <c r="U15" s="315">
        <f>IF(Upis!U15=0," ",(IF(Upis!U15="n","n",VALUE(Upis!U15))))</f>
        <v>5</v>
      </c>
      <c r="V15" s="307"/>
    </row>
    <row r="16" spans="1:22" ht="11.25" customHeight="1">
      <c r="A16" s="307">
        <v>14</v>
      </c>
      <c r="B16" s="314" t="str">
        <f>IF(Upis!B16=0," ",Upis!B16)</f>
        <v>Milanović Sara</v>
      </c>
      <c r="C16" s="315">
        <f>IF(Upis!C16=0," ",(IF(Upis!C16="n","n",VALUE(Upis!C16))))</f>
        <v>5</v>
      </c>
      <c r="D16" s="315">
        <f>IF(Upis!D16=0," ",(IF(Upis!D16="n","n",VALUE(Upis!D16))))</f>
        <v>5</v>
      </c>
      <c r="E16" s="315">
        <f>IF(Upis!E16=0," ",(IF(Upis!E16="n","n",VALUE(Upis!E16))))</f>
        <v>5</v>
      </c>
      <c r="F16" s="315">
        <f>IF(Upis!F16=0," ",(IF(Upis!F16="n","n",VALUE(Upis!F16))))</f>
        <v>5</v>
      </c>
      <c r="G16" s="315">
        <f>IF(Upis!G16=0," ",(IF(Upis!G16="n","n",VALUE(Upis!G16))))</f>
        <v>3</v>
      </c>
      <c r="H16" s="315">
        <f>IF(Upis!H16=0," ",(IF(Upis!H16="n","n",VALUE(Upis!H16))))</f>
        <v>4</v>
      </c>
      <c r="I16" s="315">
        <f>IF(Upis!I16=0," ",(IF(Upis!I16="n","n",VALUE(Upis!I16))))</f>
        <v>3</v>
      </c>
      <c r="J16" s="315">
        <f>IF(Upis!J16=0," ",(IF(Upis!J16="n","n",VALUE(Upis!J16))))</f>
        <v>4</v>
      </c>
      <c r="K16" s="315">
        <f>IF(Upis!K16=0," ",(IF(Upis!K16="n","n",VALUE(Upis!K16))))</f>
        <v>5</v>
      </c>
      <c r="L16" s="315">
        <f>IF(Upis!L16=0," ",(IF(Upis!L16="n","n",VALUE(Upis!L16))))</f>
        <v>4</v>
      </c>
      <c r="M16" s="315">
        <f>IF(Upis!M16=0," ",(IF(Upis!M16="n","n",VALUE(Upis!M16))))</f>
        <v>5</v>
      </c>
      <c r="N16" s="315">
        <f>IF(Upis!N16=0," ",(IF(Upis!N16="n","n",VALUE(Upis!N16))))</f>
        <v>4</v>
      </c>
      <c r="O16" s="315" t="str">
        <f>IF(Upis!O16=0," ",(IF(Upis!O16="n","n",VALUE(Upis!O16))))</f>
        <v> </v>
      </c>
      <c r="P16" s="315" t="str">
        <f>IF(Upis!P16=0," ",(IF(Upis!P16="n","n",VALUE(Upis!P16))))</f>
        <v> </v>
      </c>
      <c r="Q16" s="315">
        <f>VALUE(Upis!Q16)</f>
        <v>50</v>
      </c>
      <c r="R16" s="315">
        <f>VALUE(Upis!R16)</f>
        <v>5</v>
      </c>
      <c r="S16" s="315">
        <f>VALUE(Upis!S16)</f>
        <v>0</v>
      </c>
      <c r="T16" s="315">
        <f>VALUE(Upis!T16)</f>
        <v>0</v>
      </c>
      <c r="U16" s="315">
        <f>IF(Upis!U16=0," ",(IF(Upis!U16="n","n",VALUE(Upis!U16))))</f>
        <v>5</v>
      </c>
      <c r="V16" s="307"/>
    </row>
    <row r="17" spans="1:22" ht="11.25" customHeight="1">
      <c r="A17" s="307">
        <v>15</v>
      </c>
      <c r="B17" s="314" t="str">
        <f>IF(Upis!B17=0," ",Upis!B17)</f>
        <v>Milošević Stefan</v>
      </c>
      <c r="C17" s="315">
        <f>IF(Upis!C17=0," ",(IF(Upis!C17="n","n",VALUE(Upis!C17))))</f>
        <v>1</v>
      </c>
      <c r="D17" s="315">
        <f>IF(Upis!D17=0," ",(IF(Upis!D17="n","n",VALUE(Upis!D17))))</f>
        <v>3</v>
      </c>
      <c r="E17" s="315">
        <f>IF(Upis!E17=0," ",(IF(Upis!E17="n","n",VALUE(Upis!E17))))</f>
        <v>4</v>
      </c>
      <c r="F17" s="315">
        <f>IF(Upis!F17=0," ",(IF(Upis!F17="n","n",VALUE(Upis!F17))))</f>
        <v>4</v>
      </c>
      <c r="G17" s="315">
        <f>IF(Upis!G17=0," ",(IF(Upis!G17="n","n",VALUE(Upis!G17))))</f>
        <v>2</v>
      </c>
      <c r="H17" s="315">
        <f>IF(Upis!H17=0," ",(IF(Upis!H17="n","n",VALUE(Upis!H17))))</f>
        <v>3</v>
      </c>
      <c r="I17" s="315">
        <f>IF(Upis!I17=0," ",(IF(Upis!I17="n","n",VALUE(Upis!I17))))</f>
        <v>1</v>
      </c>
      <c r="J17" s="315">
        <f>IF(Upis!J17=0," ",(IF(Upis!J17="n","n",VALUE(Upis!J17))))</f>
        <v>1</v>
      </c>
      <c r="K17" s="315">
        <f>IF(Upis!K17=0," ",(IF(Upis!K17="n","n",VALUE(Upis!K17))))</f>
        <v>3</v>
      </c>
      <c r="L17" s="315">
        <f>IF(Upis!L17=0," ",(IF(Upis!L17="n","n",VALUE(Upis!L17))))</f>
        <v>2</v>
      </c>
      <c r="M17" s="315">
        <f>IF(Upis!M17=0," ",(IF(Upis!M17="n","n",VALUE(Upis!M17))))</f>
        <v>3</v>
      </c>
      <c r="N17" s="315">
        <f>IF(Upis!N17=0," ",(IF(Upis!N17="n","n",VALUE(Upis!N17))))</f>
        <v>5</v>
      </c>
      <c r="O17" s="315">
        <f>IF(Upis!O17=0," ",(IF(Upis!O17="n","n",VALUE(Upis!O17))))</f>
        <v>5</v>
      </c>
      <c r="P17" s="315" t="str">
        <f>IF(Upis!P17=0," ",(IF(Upis!P17="n","n",VALUE(Upis!P17))))</f>
        <v> </v>
      </c>
      <c r="Q17" s="315">
        <f>VALUE(Upis!Q17)</f>
        <v>62</v>
      </c>
      <c r="R17" s="315">
        <f>VALUE(Upis!R17)</f>
        <v>8</v>
      </c>
      <c r="S17" s="315">
        <f>VALUE(Upis!S17)</f>
        <v>0</v>
      </c>
      <c r="T17" s="315">
        <f>VALUE(Upis!T17)</f>
        <v>0</v>
      </c>
      <c r="U17" s="315">
        <f>IF(Upis!U17=0," ",(IF(Upis!U17="n","n",VALUE(Upis!U17))))</f>
        <v>4</v>
      </c>
      <c r="V17" s="307"/>
    </row>
    <row r="18" spans="1:22" ht="11.25" customHeight="1">
      <c r="A18" s="307">
        <v>16</v>
      </c>
      <c r="B18" s="314" t="str">
        <f>IF(Upis!B18=0," ",Upis!B18)</f>
        <v>Novaković Milena</v>
      </c>
      <c r="C18" s="315">
        <f>IF(Upis!C18=0," ",(IF(Upis!C18="n","n",VALUE(Upis!C18))))</f>
        <v>5</v>
      </c>
      <c r="D18" s="315">
        <f>IF(Upis!D18=0," ",(IF(Upis!D18="n","n",VALUE(Upis!D18))))</f>
        <v>4</v>
      </c>
      <c r="E18" s="315">
        <f>IF(Upis!E18=0," ",(IF(Upis!E18="n","n",VALUE(Upis!E18))))</f>
        <v>5</v>
      </c>
      <c r="F18" s="315">
        <f>IF(Upis!F18=0," ",(IF(Upis!F18="n","n",VALUE(Upis!F18))))</f>
        <v>5</v>
      </c>
      <c r="G18" s="315">
        <f>IF(Upis!G18=0," ",(IF(Upis!G18="n","n",VALUE(Upis!G18))))</f>
        <v>5</v>
      </c>
      <c r="H18" s="315">
        <f>IF(Upis!H18=0," ",(IF(Upis!H18="n","n",VALUE(Upis!H18))))</f>
        <v>5</v>
      </c>
      <c r="I18" s="315">
        <f>IF(Upis!I18=0," ",(IF(Upis!I18="n","n",VALUE(Upis!I18))))</f>
        <v>5</v>
      </c>
      <c r="J18" s="315">
        <f>IF(Upis!J18=0," ",(IF(Upis!J18="n","n",VALUE(Upis!J18))))</f>
        <v>5</v>
      </c>
      <c r="K18" s="315">
        <f>IF(Upis!K18=0," ",(IF(Upis!K18="n","n",VALUE(Upis!K18))))</f>
        <v>5</v>
      </c>
      <c r="L18" s="315">
        <f>IF(Upis!L18=0," ",(IF(Upis!L18="n","n",VALUE(Upis!L18))))</f>
        <v>5</v>
      </c>
      <c r="M18" s="315">
        <f>IF(Upis!M18=0," ",(IF(Upis!M18="n","n",VALUE(Upis!M18))))</f>
        <v>5</v>
      </c>
      <c r="N18" s="315">
        <f>IF(Upis!N18=0," ",(IF(Upis!N18="n","n",VALUE(Upis!N18))))</f>
        <v>5</v>
      </c>
      <c r="O18" s="315">
        <f>IF(Upis!O18=0," ",(IF(Upis!O18="n","n",VALUE(Upis!O18))))</f>
        <v>5</v>
      </c>
      <c r="P18" s="315">
        <f>IF(Upis!P18=0," ",(IF(Upis!P18="n","n",VALUE(Upis!P18))))</f>
        <v>4</v>
      </c>
      <c r="Q18" s="315">
        <f>VALUE(Upis!Q18)</f>
        <v>59</v>
      </c>
      <c r="R18" s="315">
        <f>VALUE(Upis!R18)</f>
        <v>0</v>
      </c>
      <c r="S18" s="315">
        <f>VALUE(Upis!S18)</f>
        <v>0</v>
      </c>
      <c r="T18" s="315">
        <f>VALUE(Upis!T18)</f>
        <v>0</v>
      </c>
      <c r="U18" s="315">
        <f>IF(Upis!U18=0," ",(IF(Upis!U18="n","n",VALUE(Upis!U18))))</f>
        <v>5</v>
      </c>
      <c r="V18" s="307"/>
    </row>
    <row r="19" spans="1:22" ht="11.25" customHeight="1">
      <c r="A19" s="307">
        <v>17</v>
      </c>
      <c r="B19" s="314" t="str">
        <f>IF(Upis!B19=0," ",Upis!B19)</f>
        <v>Orbanović Gradimir</v>
      </c>
      <c r="C19" s="315">
        <f>IF(Upis!C19=0," ",(IF(Upis!C19="n","n",VALUE(Upis!C19))))</f>
        <v>4</v>
      </c>
      <c r="D19" s="315">
        <f>IF(Upis!D19=0," ",(IF(Upis!D19="n","n",VALUE(Upis!D19))))</f>
        <v>5</v>
      </c>
      <c r="E19" s="315">
        <f>IF(Upis!E19=0," ",(IF(Upis!E19="n","n",VALUE(Upis!E19))))</f>
        <v>5</v>
      </c>
      <c r="F19" s="315">
        <f>IF(Upis!F19=0," ",(IF(Upis!F19="n","n",VALUE(Upis!F19))))</f>
        <v>5</v>
      </c>
      <c r="G19" s="315">
        <f>IF(Upis!G19=0," ",(IF(Upis!G19="n","n",VALUE(Upis!G19))))</f>
        <v>4</v>
      </c>
      <c r="H19" s="315">
        <f>IF(Upis!H19=0," ",(IF(Upis!H19="n","n",VALUE(Upis!H19))))</f>
        <v>5</v>
      </c>
      <c r="I19" s="315">
        <f>IF(Upis!I19=0," ",(IF(Upis!I19="n","n",VALUE(Upis!I19))))</f>
        <v>3</v>
      </c>
      <c r="J19" s="315">
        <f>IF(Upis!J19=0," ",(IF(Upis!J19="n","n",VALUE(Upis!J19))))</f>
        <v>2</v>
      </c>
      <c r="K19" s="315">
        <f>IF(Upis!K19=0," ",(IF(Upis!K19="n","n",VALUE(Upis!K19))))</f>
        <v>4</v>
      </c>
      <c r="L19" s="315">
        <f>IF(Upis!L19=0," ",(IF(Upis!L19="n","n",VALUE(Upis!L19))))</f>
        <v>3</v>
      </c>
      <c r="M19" s="315">
        <f>IF(Upis!M19=0," ",(IF(Upis!M19="n","n",VALUE(Upis!M19))))</f>
        <v>5</v>
      </c>
      <c r="N19" s="315">
        <f>IF(Upis!N19=0," ",(IF(Upis!N19="n","n",VALUE(Upis!N19))))</f>
        <v>5</v>
      </c>
      <c r="O19" s="315" t="str">
        <f>IF(Upis!O19=0," ",(IF(Upis!O19="n","n",VALUE(Upis!O19))))</f>
        <v> </v>
      </c>
      <c r="P19" s="315" t="str">
        <f>IF(Upis!P19=0," ",(IF(Upis!P19="n","n",VALUE(Upis!P19))))</f>
        <v> </v>
      </c>
      <c r="Q19" s="315">
        <f>VALUE(Upis!Q19)</f>
        <v>54</v>
      </c>
      <c r="R19" s="315">
        <f>VALUE(Upis!R19)</f>
        <v>0</v>
      </c>
      <c r="S19" s="315">
        <f>VALUE(Upis!S19)</f>
        <v>0</v>
      </c>
      <c r="T19" s="315">
        <f>VALUE(Upis!T19)</f>
        <v>0</v>
      </c>
      <c r="U19" s="315">
        <f>IF(Upis!U19=0," ",(IF(Upis!U19="n","n",VALUE(Upis!U19))))</f>
        <v>5</v>
      </c>
      <c r="V19" s="307"/>
    </row>
    <row r="20" spans="1:22" ht="11.25" customHeight="1">
      <c r="A20" s="307">
        <v>18</v>
      </c>
      <c r="B20" s="314" t="str">
        <f>IF(Upis!B20=0," ",Upis!B20)</f>
        <v>Poček Sonja</v>
      </c>
      <c r="C20" s="315">
        <f>IF(Upis!C20=0," ",(IF(Upis!C20="n","n",VALUE(Upis!C20))))</f>
        <v>5</v>
      </c>
      <c r="D20" s="315">
        <f>IF(Upis!D20=0," ",(IF(Upis!D20="n","n",VALUE(Upis!D20))))</f>
        <v>5</v>
      </c>
      <c r="E20" s="315">
        <f>IF(Upis!E20=0," ",(IF(Upis!E20="n","n",VALUE(Upis!E20))))</f>
        <v>5</v>
      </c>
      <c r="F20" s="315">
        <f>IF(Upis!F20=0," ",(IF(Upis!F20="n","n",VALUE(Upis!F20))))</f>
        <v>5</v>
      </c>
      <c r="G20" s="315">
        <f>IF(Upis!G20=0," ",(IF(Upis!G20="n","n",VALUE(Upis!G20))))</f>
        <v>5</v>
      </c>
      <c r="H20" s="315">
        <f>IF(Upis!H20=0," ",(IF(Upis!H20="n","n",VALUE(Upis!H20))))</f>
        <v>5</v>
      </c>
      <c r="I20" s="315">
        <f>IF(Upis!I20=0," ",(IF(Upis!I20="n","n",VALUE(Upis!I20))))</f>
        <v>5</v>
      </c>
      <c r="J20" s="315">
        <f>IF(Upis!J20=0," ",(IF(Upis!J20="n","n",VALUE(Upis!J20))))</f>
        <v>5</v>
      </c>
      <c r="K20" s="315">
        <f>IF(Upis!K20=0," ",(IF(Upis!K20="n","n",VALUE(Upis!K20))))</f>
        <v>5</v>
      </c>
      <c r="L20" s="315">
        <f>IF(Upis!L20=0," ",(IF(Upis!L20="n","n",VALUE(Upis!L20))))</f>
        <v>5</v>
      </c>
      <c r="M20" s="315">
        <f>IF(Upis!M20=0," ",(IF(Upis!M20="n","n",VALUE(Upis!M20))))</f>
        <v>5</v>
      </c>
      <c r="N20" s="315">
        <f>IF(Upis!N20=0," ",(IF(Upis!N20="n","n",VALUE(Upis!N20))))</f>
        <v>5</v>
      </c>
      <c r="O20" s="315">
        <f>IF(Upis!O20=0," ",(IF(Upis!O20="n","n",VALUE(Upis!O20))))</f>
        <v>5</v>
      </c>
      <c r="P20" s="315">
        <f>IF(Upis!P20=0," ",(IF(Upis!P20="n","n",VALUE(Upis!P20))))</f>
        <v>5</v>
      </c>
      <c r="Q20" s="315">
        <f>VALUE(Upis!Q20)</f>
        <v>12</v>
      </c>
      <c r="R20" s="315">
        <f>VALUE(Upis!R20)</f>
        <v>0</v>
      </c>
      <c r="S20" s="315">
        <f>VALUE(Upis!S20)</f>
        <v>0</v>
      </c>
      <c r="T20" s="315">
        <f>VALUE(Upis!T20)</f>
        <v>0</v>
      </c>
      <c r="U20" s="315">
        <f>IF(Upis!U20=0," ",(IF(Upis!U20="n","n",VALUE(Upis!U20))))</f>
        <v>5</v>
      </c>
      <c r="V20" s="307"/>
    </row>
    <row r="21" spans="1:22" ht="11.25" customHeight="1">
      <c r="A21" s="307">
        <v>19</v>
      </c>
      <c r="B21" s="314" t="str">
        <f>IF(Upis!B21=0," ",Upis!B21)</f>
        <v>Rozman Marko</v>
      </c>
      <c r="C21" s="315">
        <f>IF(Upis!C21=0," ",(IF(Upis!C21="n","n",VALUE(Upis!C21))))</f>
        <v>3</v>
      </c>
      <c r="D21" s="315">
        <f>IF(Upis!D21=0," ",(IF(Upis!D21="n","n",VALUE(Upis!D21))))</f>
        <v>2</v>
      </c>
      <c r="E21" s="315">
        <f>IF(Upis!E21=0," ",(IF(Upis!E21="n","n",VALUE(Upis!E21))))</f>
        <v>5</v>
      </c>
      <c r="F21" s="315">
        <f>IF(Upis!F21=0," ",(IF(Upis!F21="n","n",VALUE(Upis!F21))))</f>
        <v>4</v>
      </c>
      <c r="G21" s="315">
        <f>IF(Upis!G21=0," ",(IF(Upis!G21="n","n",VALUE(Upis!G21))))</f>
        <v>2</v>
      </c>
      <c r="H21" s="315">
        <f>IF(Upis!H21=0," ",(IF(Upis!H21="n","n",VALUE(Upis!H21))))</f>
        <v>3</v>
      </c>
      <c r="I21" s="315">
        <f>IF(Upis!I21=0," ",(IF(Upis!I21="n","n",VALUE(Upis!I21))))</f>
        <v>1</v>
      </c>
      <c r="J21" s="315">
        <f>IF(Upis!J21=0," ",(IF(Upis!J21="n","n",VALUE(Upis!J21))))</f>
        <v>1</v>
      </c>
      <c r="K21" s="315">
        <f>IF(Upis!K21=0," ",(IF(Upis!K21="n","n",VALUE(Upis!K21))))</f>
        <v>3</v>
      </c>
      <c r="L21" s="315">
        <f>IF(Upis!L21=0," ",(IF(Upis!L21="n","n",VALUE(Upis!L21))))</f>
        <v>2</v>
      </c>
      <c r="M21" s="315">
        <f>IF(Upis!M21=0," ",(IF(Upis!M21="n","n",VALUE(Upis!M21))))</f>
        <v>4</v>
      </c>
      <c r="N21" s="315">
        <f>IF(Upis!N21=0," ",(IF(Upis!N21="n","n",VALUE(Upis!N21))))</f>
        <v>5</v>
      </c>
      <c r="O21" s="315" t="str">
        <f>IF(Upis!O21=0," ",(IF(Upis!O21="n","n",VALUE(Upis!O21))))</f>
        <v> </v>
      </c>
      <c r="P21" s="315" t="str">
        <f>IF(Upis!P21=0," ",(IF(Upis!P21="n","n",VALUE(Upis!P21))))</f>
        <v> </v>
      </c>
      <c r="Q21" s="315">
        <f>VALUE(Upis!Q21)</f>
        <v>2</v>
      </c>
      <c r="R21" s="315">
        <f>VALUE(Upis!R21)</f>
        <v>10</v>
      </c>
      <c r="S21" s="315">
        <f>VALUE(Upis!S21)</f>
        <v>0</v>
      </c>
      <c r="T21" s="315">
        <f>VALUE(Upis!T21)</f>
        <v>0</v>
      </c>
      <c r="U21" s="315">
        <f>IF(Upis!U21=0," ",(IF(Upis!U21="n","n",VALUE(Upis!U21))))</f>
        <v>4</v>
      </c>
      <c r="V21" s="307"/>
    </row>
    <row r="22" spans="1:22" ht="11.25" customHeight="1">
      <c r="A22" s="307">
        <v>20</v>
      </c>
      <c r="B22" s="314" t="str">
        <f>IF(Upis!B22=0," ",Upis!B22)</f>
        <v>Stojanović Jovan</v>
      </c>
      <c r="C22" s="315">
        <f>IF(Upis!C22=0," ",(IF(Upis!C22="n","n",VALUE(Upis!C22))))</f>
        <v>3</v>
      </c>
      <c r="D22" s="315">
        <f>IF(Upis!D22=0," ",(IF(Upis!D22="n","n",VALUE(Upis!D22))))</f>
        <v>2</v>
      </c>
      <c r="E22" s="315">
        <f>IF(Upis!E22=0," ",(IF(Upis!E22="n","n",VALUE(Upis!E22))))</f>
        <v>5</v>
      </c>
      <c r="F22" s="315">
        <f>IF(Upis!F22=0," ",(IF(Upis!F22="n","n",VALUE(Upis!F22))))</f>
        <v>5</v>
      </c>
      <c r="G22" s="315">
        <f>IF(Upis!G22=0," ",(IF(Upis!G22="n","n",VALUE(Upis!G22))))</f>
        <v>3</v>
      </c>
      <c r="H22" s="315">
        <f>IF(Upis!H22=0," ",(IF(Upis!H22="n","n",VALUE(Upis!H22))))</f>
        <v>5</v>
      </c>
      <c r="I22" s="315">
        <f>IF(Upis!I22=0," ",(IF(Upis!I22="n","n",VALUE(Upis!I22))))</f>
        <v>2</v>
      </c>
      <c r="J22" s="315">
        <f>IF(Upis!J22=0," ",(IF(Upis!J22="n","n",VALUE(Upis!J22))))</f>
        <v>2</v>
      </c>
      <c r="K22" s="315">
        <f>IF(Upis!K22=0," ",(IF(Upis!K22="n","n",VALUE(Upis!K22))))</f>
        <v>4</v>
      </c>
      <c r="L22" s="315">
        <f>IF(Upis!L22=0," ",(IF(Upis!L22="n","n",VALUE(Upis!L22))))</f>
        <v>3</v>
      </c>
      <c r="M22" s="315">
        <f>IF(Upis!M22=0," ",(IF(Upis!M22="n","n",VALUE(Upis!M22))))</f>
        <v>5</v>
      </c>
      <c r="N22" s="315">
        <f>IF(Upis!N22=0," ",(IF(Upis!N22="n","n",VALUE(Upis!N22))))</f>
        <v>5</v>
      </c>
      <c r="O22" s="315">
        <f>IF(Upis!O22=0," ",(IF(Upis!O22="n","n",VALUE(Upis!O22))))</f>
        <v>5</v>
      </c>
      <c r="P22" s="315" t="str">
        <f>IF(Upis!P22=0," ",(IF(Upis!P22="n","n",VALUE(Upis!P22))))</f>
        <v> </v>
      </c>
      <c r="Q22" s="315">
        <f>VALUE(Upis!Q22)</f>
        <v>9</v>
      </c>
      <c r="R22" s="315">
        <f>VALUE(Upis!R22)</f>
        <v>0</v>
      </c>
      <c r="S22" s="315">
        <f>VALUE(Upis!S22)</f>
        <v>0</v>
      </c>
      <c r="T22" s="315">
        <f>VALUE(Upis!T22)</f>
        <v>0</v>
      </c>
      <c r="U22" s="315">
        <f>IF(Upis!U22=0," ",(IF(Upis!U22="n","n",VALUE(Upis!U22))))</f>
        <v>5</v>
      </c>
      <c r="V22" s="307"/>
    </row>
    <row r="23" spans="1:22" ht="11.25" customHeight="1">
      <c r="A23" s="307">
        <v>21</v>
      </c>
      <c r="B23" s="314" t="str">
        <f>IF(Upis!B23=0," ",Upis!B23)</f>
        <v>Tadić Vesna</v>
      </c>
      <c r="C23" s="315">
        <f>IF(Upis!C23=0," ",(IF(Upis!C23="n","n",VALUE(Upis!C23))))</f>
        <v>3</v>
      </c>
      <c r="D23" s="315">
        <f>IF(Upis!D23=0," ",(IF(Upis!D23="n","n",VALUE(Upis!D23))))</f>
        <v>1</v>
      </c>
      <c r="E23" s="315">
        <f>IF(Upis!E23=0," ",(IF(Upis!E23="n","n",VALUE(Upis!E23))))</f>
        <v>5</v>
      </c>
      <c r="F23" s="315">
        <f>IF(Upis!F23=0," ",(IF(Upis!F23="n","n",VALUE(Upis!F23))))</f>
        <v>5</v>
      </c>
      <c r="G23" s="315">
        <f>IF(Upis!G23=0," ",(IF(Upis!G23="n","n",VALUE(Upis!G23))))</f>
        <v>1</v>
      </c>
      <c r="H23" s="315">
        <f>IF(Upis!H23=0," ",(IF(Upis!H23="n","n",VALUE(Upis!H23))))</f>
        <v>3</v>
      </c>
      <c r="I23" s="315">
        <f>IF(Upis!I23=0," ",(IF(Upis!I23="n","n",VALUE(Upis!I23))))</f>
        <v>2</v>
      </c>
      <c r="J23" s="315">
        <f>IF(Upis!J23=0," ",(IF(Upis!J23="n","n",VALUE(Upis!J23))))</f>
        <v>1</v>
      </c>
      <c r="K23" s="315">
        <f>IF(Upis!K23=0," ",(IF(Upis!K23="n","n",VALUE(Upis!K23))))</f>
        <v>2</v>
      </c>
      <c r="L23" s="315">
        <f>IF(Upis!L23=0," ",(IF(Upis!L23="n","n",VALUE(Upis!L23))))</f>
        <v>2</v>
      </c>
      <c r="M23" s="315">
        <f>IF(Upis!M23=0," ",(IF(Upis!M23="n","n",VALUE(Upis!M23))))</f>
        <v>5</v>
      </c>
      <c r="N23" s="315">
        <f>IF(Upis!N23=0," ",(IF(Upis!N23="n","n",VALUE(Upis!N23))))</f>
        <v>5</v>
      </c>
      <c r="O23" s="315">
        <f>IF(Upis!O23=0," ",(IF(Upis!O23="n","n",VALUE(Upis!O23))))</f>
        <v>3</v>
      </c>
      <c r="P23" s="315" t="str">
        <f>IF(Upis!P23=0," ",(IF(Upis!P23="n","n",VALUE(Upis!P23))))</f>
        <v> </v>
      </c>
      <c r="Q23" s="315">
        <f>VALUE(Upis!Q23)</f>
        <v>23</v>
      </c>
      <c r="R23" s="315">
        <f>VALUE(Upis!R23)</f>
        <v>2</v>
      </c>
      <c r="S23" s="315">
        <f>VALUE(Upis!S23)</f>
        <v>0</v>
      </c>
      <c r="T23" s="315">
        <f>VALUE(Upis!T23)</f>
        <v>0</v>
      </c>
      <c r="U23" s="315">
        <f>IF(Upis!U23=0," ",(IF(Upis!U23="n","n",VALUE(Upis!U23))))</f>
        <v>5</v>
      </c>
      <c r="V23" s="307"/>
    </row>
    <row r="24" spans="1:22" ht="11.25" customHeight="1">
      <c r="A24" s="307">
        <v>22</v>
      </c>
      <c r="B24" s="314" t="str">
        <f>IF(Upis!B24=0," ",Upis!B24)</f>
        <v>Misailović Jovana</v>
      </c>
      <c r="C24" s="315">
        <f>IF(Upis!C24=0," ",(IF(Upis!C24="n","n",VALUE(Upis!C24))))</f>
        <v>4</v>
      </c>
      <c r="D24" s="315">
        <f>IF(Upis!D24=0," ",(IF(Upis!D24="n","n",VALUE(Upis!D24))))</f>
        <v>2</v>
      </c>
      <c r="E24" s="315">
        <f>IF(Upis!E24=0," ",(IF(Upis!E24="n","n",VALUE(Upis!E24))))</f>
        <v>5</v>
      </c>
      <c r="F24" s="315">
        <f>IF(Upis!F24=0," ",(IF(Upis!F24="n","n",VALUE(Upis!F24))))</f>
        <v>5</v>
      </c>
      <c r="G24" s="315">
        <f>IF(Upis!G24=0," ",(IF(Upis!G24="n","n",VALUE(Upis!G24))))</f>
        <v>3</v>
      </c>
      <c r="H24" s="315">
        <f>IF(Upis!H24=0," ",(IF(Upis!H24="n","n",VALUE(Upis!H24))))</f>
        <v>5</v>
      </c>
      <c r="I24" s="315">
        <f>IF(Upis!I24=0," ",(IF(Upis!I24="n","n",VALUE(Upis!I24))))</f>
        <v>2</v>
      </c>
      <c r="J24" s="315">
        <f>IF(Upis!J24=0," ",(IF(Upis!J24="n","n",VALUE(Upis!J24))))</f>
        <v>3</v>
      </c>
      <c r="K24" s="315">
        <f>IF(Upis!K24=0," ",(IF(Upis!K24="n","n",VALUE(Upis!K24))))</f>
        <v>5</v>
      </c>
      <c r="L24" s="315">
        <f>IF(Upis!L24=0," ",(IF(Upis!L24="n","n",VALUE(Upis!L24))))</f>
        <v>3</v>
      </c>
      <c r="M24" s="315">
        <f>IF(Upis!M24=0," ",(IF(Upis!M24="n","n",VALUE(Upis!M24))))</f>
        <v>5</v>
      </c>
      <c r="N24" s="315">
        <f>IF(Upis!N24=0," ",(IF(Upis!N24="n","n",VALUE(Upis!N24))))</f>
        <v>5</v>
      </c>
      <c r="O24" s="315" t="str">
        <f>IF(Upis!O24=0," ",(IF(Upis!O24="n","n",VALUE(Upis!O24))))</f>
        <v> </v>
      </c>
      <c r="P24" s="315">
        <f>IF(Upis!P24=0," ",(IF(Upis!P24="n","n",VALUE(Upis!P24))))</f>
        <v>4</v>
      </c>
      <c r="Q24" s="315">
        <f>VALUE(Upis!Q24)</f>
        <v>33</v>
      </c>
      <c r="R24" s="315">
        <f>VALUE(Upis!R24)</f>
        <v>0</v>
      </c>
      <c r="S24" s="315">
        <f>VALUE(Upis!S24)</f>
        <v>0</v>
      </c>
      <c r="T24" s="315">
        <f>VALUE(Upis!T24)</f>
        <v>0</v>
      </c>
      <c r="U24" s="315">
        <f>IF(Upis!U24=0," ",(IF(Upis!U24="n","n",VALUE(Upis!U24))))</f>
        <v>5</v>
      </c>
      <c r="V24" s="307"/>
    </row>
    <row r="25" spans="1:22" ht="11.25" customHeight="1">
      <c r="A25" s="307">
        <v>23</v>
      </c>
      <c r="B25" s="314" t="str">
        <f>IF(Upis!B25=0," ",Upis!B25)</f>
        <v> </v>
      </c>
      <c r="C25" s="315" t="str">
        <f>IF(Upis!C25=0," ",(IF(Upis!C25="n","n",VALUE(Upis!C25))))</f>
        <v> </v>
      </c>
      <c r="D25" s="315" t="str">
        <f>IF(Upis!D25=0," ",(IF(Upis!D25="n","n",VALUE(Upis!D25))))</f>
        <v> </v>
      </c>
      <c r="E25" s="315" t="str">
        <f>IF(Upis!E25=0," ",(IF(Upis!E25="n","n",VALUE(Upis!E25))))</f>
        <v> </v>
      </c>
      <c r="F25" s="315" t="str">
        <f>IF(Upis!F25=0," ",(IF(Upis!F25="n","n",VALUE(Upis!F25))))</f>
        <v> </v>
      </c>
      <c r="G25" s="315" t="str">
        <f>IF(Upis!G25=0," ",(IF(Upis!G25="n","n",VALUE(Upis!G25))))</f>
        <v> </v>
      </c>
      <c r="H25" s="315" t="str">
        <f>IF(Upis!H25=0," ",(IF(Upis!H25="n","n",VALUE(Upis!H25))))</f>
        <v> </v>
      </c>
      <c r="I25" s="315" t="str">
        <f>IF(Upis!I25=0," ",(IF(Upis!I25="n","n",VALUE(Upis!I25))))</f>
        <v> </v>
      </c>
      <c r="J25" s="315" t="str">
        <f>IF(Upis!J25=0," ",(IF(Upis!J25="n","n",VALUE(Upis!J25))))</f>
        <v> </v>
      </c>
      <c r="K25" s="315" t="str">
        <f>IF(Upis!K25=0," ",(IF(Upis!K25="n","n",VALUE(Upis!K25))))</f>
        <v> </v>
      </c>
      <c r="L25" s="315" t="str">
        <f>IF(Upis!L25=0," ",(IF(Upis!L25="n","n",VALUE(Upis!L25))))</f>
        <v> </v>
      </c>
      <c r="M25" s="315" t="str">
        <f>IF(Upis!M25=0," ",(IF(Upis!M25="n","n",VALUE(Upis!M25))))</f>
        <v> </v>
      </c>
      <c r="N25" s="315" t="str">
        <f>IF(Upis!N25=0," ",(IF(Upis!N25="n","n",VALUE(Upis!N25))))</f>
        <v> </v>
      </c>
      <c r="O25" s="315" t="str">
        <f>IF(Upis!O25=0," ",(IF(Upis!O25="n","n",VALUE(Upis!O25))))</f>
        <v> </v>
      </c>
      <c r="P25" s="315" t="str">
        <f>IF(Upis!P25=0," ",(IF(Upis!P25="n","n",VALUE(Upis!P25))))</f>
        <v> </v>
      </c>
      <c r="Q25" s="315">
        <f>VALUE(Upis!Q25)</f>
        <v>0</v>
      </c>
      <c r="R25" s="315">
        <f>VALUE(Upis!R25)</f>
        <v>0</v>
      </c>
      <c r="S25" s="315">
        <f>VALUE(Upis!S25)</f>
        <v>0</v>
      </c>
      <c r="T25" s="315">
        <f>VALUE(Upis!T25)</f>
        <v>0</v>
      </c>
      <c r="U25" s="315" t="str">
        <f>IF(Upis!U25=0," ",(IF(Upis!U25="n","n",VALUE(Upis!U25))))</f>
        <v> </v>
      </c>
      <c r="V25" s="307"/>
    </row>
    <row r="26" spans="1:22" ht="11.25" customHeight="1">
      <c r="A26" s="307">
        <v>24</v>
      </c>
      <c r="B26" s="314" t="str">
        <f>IF(Upis!B26=0," ",Upis!B26)</f>
        <v> </v>
      </c>
      <c r="C26" s="315" t="str">
        <f>IF(Upis!C26=0," ",(IF(Upis!C26="n","n",VALUE(Upis!C26))))</f>
        <v> </v>
      </c>
      <c r="D26" s="315" t="str">
        <f>IF(Upis!D26=0," ",(IF(Upis!D26="n","n",VALUE(Upis!D26))))</f>
        <v> </v>
      </c>
      <c r="E26" s="315" t="str">
        <f>IF(Upis!E26=0," ",(IF(Upis!E26="n","n",VALUE(Upis!E26))))</f>
        <v> </v>
      </c>
      <c r="F26" s="315" t="str">
        <f>IF(Upis!F26=0," ",(IF(Upis!F26="n","n",VALUE(Upis!F26))))</f>
        <v> </v>
      </c>
      <c r="G26" s="315" t="str">
        <f>IF(Upis!G26=0," ",(IF(Upis!G26="n","n",VALUE(Upis!G26))))</f>
        <v> </v>
      </c>
      <c r="H26" s="315" t="str">
        <f>IF(Upis!H26=0," ",(IF(Upis!H26="n","n",VALUE(Upis!H26))))</f>
        <v> </v>
      </c>
      <c r="I26" s="315" t="str">
        <f>IF(Upis!I26=0," ",(IF(Upis!I26="n","n",VALUE(Upis!I26))))</f>
        <v> </v>
      </c>
      <c r="J26" s="315" t="str">
        <f>IF(Upis!J26=0," ",(IF(Upis!J26="n","n",VALUE(Upis!J26))))</f>
        <v> </v>
      </c>
      <c r="K26" s="315" t="str">
        <f>IF(Upis!K26=0," ",(IF(Upis!K26="n","n",VALUE(Upis!K26))))</f>
        <v> </v>
      </c>
      <c r="L26" s="315" t="str">
        <f>IF(Upis!L26=0," ",(IF(Upis!L26="n","n",VALUE(Upis!L26))))</f>
        <v> </v>
      </c>
      <c r="M26" s="315" t="str">
        <f>IF(Upis!M26=0," ",(IF(Upis!M26="n","n",VALUE(Upis!M26))))</f>
        <v> </v>
      </c>
      <c r="N26" s="315" t="str">
        <f>IF(Upis!N26=0," ",(IF(Upis!N26="n","n",VALUE(Upis!N26))))</f>
        <v> </v>
      </c>
      <c r="O26" s="315" t="str">
        <f>IF(Upis!O26=0," ",(IF(Upis!O26="n","n",VALUE(Upis!O26))))</f>
        <v> </v>
      </c>
      <c r="P26" s="315" t="str">
        <f>IF(Upis!P26=0," ",(IF(Upis!P26="n","n",VALUE(Upis!P26))))</f>
        <v> </v>
      </c>
      <c r="Q26" s="315">
        <f>VALUE(Upis!Q26)</f>
        <v>0</v>
      </c>
      <c r="R26" s="315">
        <f>VALUE(Upis!R26)</f>
        <v>0</v>
      </c>
      <c r="S26" s="315">
        <f>VALUE(Upis!S26)</f>
        <v>0</v>
      </c>
      <c r="T26" s="315">
        <f>VALUE(Upis!T26)</f>
        <v>0</v>
      </c>
      <c r="U26" s="315" t="str">
        <f>IF(Upis!U26=0," ",(IF(Upis!U26="n","n",VALUE(Upis!U26))))</f>
        <v> </v>
      </c>
      <c r="V26" s="307"/>
    </row>
    <row r="27" spans="1:22" ht="11.25" customHeight="1">
      <c r="A27" s="307">
        <v>25</v>
      </c>
      <c r="B27" s="314" t="str">
        <f>IF(Upis!B27=0," ",Upis!B27)</f>
        <v> </v>
      </c>
      <c r="C27" s="315" t="str">
        <f>IF(Upis!C27=0," ",(IF(Upis!C27="n","n",VALUE(Upis!C27))))</f>
        <v> </v>
      </c>
      <c r="D27" s="315" t="str">
        <f>IF(Upis!D27=0," ",(IF(Upis!D27="n","n",VALUE(Upis!D27))))</f>
        <v> </v>
      </c>
      <c r="E27" s="315" t="str">
        <f>IF(Upis!E27=0," ",(IF(Upis!E27="n","n",VALUE(Upis!E27))))</f>
        <v> </v>
      </c>
      <c r="F27" s="315" t="str">
        <f>IF(Upis!F27=0," ",(IF(Upis!F27="n","n",VALUE(Upis!F27))))</f>
        <v> </v>
      </c>
      <c r="G27" s="315" t="str">
        <f>IF(Upis!G27=0," ",(IF(Upis!G27="n","n",VALUE(Upis!G27))))</f>
        <v> </v>
      </c>
      <c r="H27" s="315" t="str">
        <f>IF(Upis!H27=0," ",(IF(Upis!H27="n","n",VALUE(Upis!H27))))</f>
        <v> </v>
      </c>
      <c r="I27" s="315" t="str">
        <f>IF(Upis!I27=0," ",(IF(Upis!I27="n","n",VALUE(Upis!I27))))</f>
        <v> </v>
      </c>
      <c r="J27" s="315" t="str">
        <f>IF(Upis!J27=0," ",(IF(Upis!J27="n","n",VALUE(Upis!J27))))</f>
        <v> </v>
      </c>
      <c r="K27" s="315" t="str">
        <f>IF(Upis!K27=0," ",(IF(Upis!K27="n","n",VALUE(Upis!K27))))</f>
        <v> </v>
      </c>
      <c r="L27" s="315" t="str">
        <f>IF(Upis!L27=0," ",(IF(Upis!L27="n","n",VALUE(Upis!L27))))</f>
        <v> </v>
      </c>
      <c r="M27" s="315" t="str">
        <f>IF(Upis!M27=0," ",(IF(Upis!M27="n","n",VALUE(Upis!M27))))</f>
        <v> </v>
      </c>
      <c r="N27" s="315" t="str">
        <f>IF(Upis!N27=0," ",(IF(Upis!N27="n","n",VALUE(Upis!N27))))</f>
        <v> </v>
      </c>
      <c r="O27" s="315" t="str">
        <f>IF(Upis!O27=0," ",(IF(Upis!O27="n","n",VALUE(Upis!O27))))</f>
        <v> </v>
      </c>
      <c r="P27" s="315" t="str">
        <f>IF(Upis!P27=0," ",(IF(Upis!P27="n","n",VALUE(Upis!P27))))</f>
        <v> </v>
      </c>
      <c r="Q27" s="315">
        <f>VALUE(Upis!Q27)</f>
        <v>0</v>
      </c>
      <c r="R27" s="315">
        <f>VALUE(Upis!R27)</f>
        <v>0</v>
      </c>
      <c r="S27" s="315">
        <f>VALUE(Upis!S27)</f>
        <v>0</v>
      </c>
      <c r="T27" s="315">
        <f>VALUE(Upis!T27)</f>
        <v>0</v>
      </c>
      <c r="U27" s="315" t="str">
        <f>IF(Upis!U27=0," ",(IF(Upis!U27="n","n",VALUE(Upis!U27))))</f>
        <v> </v>
      </c>
      <c r="V27" s="307"/>
    </row>
    <row r="28" spans="1:22" ht="11.25" customHeight="1">
      <c r="A28" s="307">
        <v>26</v>
      </c>
      <c r="B28" s="314" t="str">
        <f>IF(Upis!B28=0," ",Upis!B28)</f>
        <v> </v>
      </c>
      <c r="C28" s="315" t="str">
        <f>IF(Upis!C28=0," ",(IF(Upis!C28="n","n",VALUE(Upis!C28))))</f>
        <v> </v>
      </c>
      <c r="D28" s="315" t="str">
        <f>IF(Upis!D28=0," ",(IF(Upis!D28="n","n",VALUE(Upis!D28))))</f>
        <v> </v>
      </c>
      <c r="E28" s="315" t="str">
        <f>IF(Upis!E28=0," ",(IF(Upis!E28="n","n",VALUE(Upis!E28))))</f>
        <v> </v>
      </c>
      <c r="F28" s="315" t="str">
        <f>IF(Upis!F28=0," ",(IF(Upis!F28="n","n",VALUE(Upis!F28))))</f>
        <v> </v>
      </c>
      <c r="G28" s="315" t="str">
        <f>IF(Upis!G28=0," ",(IF(Upis!G28="n","n",VALUE(Upis!G28))))</f>
        <v> </v>
      </c>
      <c r="H28" s="315" t="str">
        <f>IF(Upis!H28=0," ",(IF(Upis!H28="n","n",VALUE(Upis!H28))))</f>
        <v> </v>
      </c>
      <c r="I28" s="315" t="str">
        <f>IF(Upis!I28=0," ",(IF(Upis!I28="n","n",VALUE(Upis!I28))))</f>
        <v> </v>
      </c>
      <c r="J28" s="315" t="str">
        <f>IF(Upis!J28=0," ",(IF(Upis!J28="n","n",VALUE(Upis!J28))))</f>
        <v> </v>
      </c>
      <c r="K28" s="315" t="str">
        <f>IF(Upis!K28=0," ",(IF(Upis!K28="n","n",VALUE(Upis!K28))))</f>
        <v> </v>
      </c>
      <c r="L28" s="315" t="str">
        <f>IF(Upis!L28=0," ",(IF(Upis!L28="n","n",VALUE(Upis!L28))))</f>
        <v> </v>
      </c>
      <c r="M28" s="315" t="str">
        <f>IF(Upis!M28=0," ",(IF(Upis!M28="n","n",VALUE(Upis!M28))))</f>
        <v> </v>
      </c>
      <c r="N28" s="315" t="str">
        <f>IF(Upis!N28=0," ",(IF(Upis!N28="n","n",VALUE(Upis!N28))))</f>
        <v> </v>
      </c>
      <c r="O28" s="315" t="str">
        <f>IF(Upis!O28=0," ",(IF(Upis!O28="n","n",VALUE(Upis!O28))))</f>
        <v> </v>
      </c>
      <c r="P28" s="315" t="str">
        <f>IF(Upis!P28=0," ",(IF(Upis!P28="n","n",VALUE(Upis!P28))))</f>
        <v> </v>
      </c>
      <c r="Q28" s="315">
        <f>VALUE(Upis!Q28)</f>
        <v>0</v>
      </c>
      <c r="R28" s="315">
        <f>VALUE(Upis!R28)</f>
        <v>0</v>
      </c>
      <c r="S28" s="315">
        <f>VALUE(Upis!S28)</f>
        <v>0</v>
      </c>
      <c r="T28" s="315">
        <f>VALUE(Upis!T28)</f>
        <v>0</v>
      </c>
      <c r="U28" s="315" t="str">
        <f>IF(Upis!U28=0," ",(IF(Upis!U28="n","n",VALUE(Upis!U28))))</f>
        <v> </v>
      </c>
      <c r="V28" s="307"/>
    </row>
    <row r="29" spans="1:22" ht="11.25" customHeight="1">
      <c r="A29" s="307">
        <v>27</v>
      </c>
      <c r="B29" s="314" t="str">
        <f>IF(Upis!B29=0," ",Upis!B29)</f>
        <v> </v>
      </c>
      <c r="C29" s="315" t="str">
        <f>IF(Upis!C29=0," ",(IF(Upis!C29="n","n",VALUE(Upis!C29))))</f>
        <v> </v>
      </c>
      <c r="D29" s="315" t="str">
        <f>IF(Upis!D29=0," ",(IF(Upis!D29="n","n",VALUE(Upis!D29))))</f>
        <v> </v>
      </c>
      <c r="E29" s="315" t="str">
        <f>IF(Upis!E29=0," ",(IF(Upis!E29="n","n",VALUE(Upis!E29))))</f>
        <v> </v>
      </c>
      <c r="F29" s="315" t="str">
        <f>IF(Upis!F29=0," ",(IF(Upis!F29="n","n",VALUE(Upis!F29))))</f>
        <v> </v>
      </c>
      <c r="G29" s="315" t="str">
        <f>IF(Upis!G29=0," ",(IF(Upis!G29="n","n",VALUE(Upis!G29))))</f>
        <v> </v>
      </c>
      <c r="H29" s="315" t="str">
        <f>IF(Upis!H29=0," ",(IF(Upis!H29="n","n",VALUE(Upis!H29))))</f>
        <v> </v>
      </c>
      <c r="I29" s="315" t="str">
        <f>IF(Upis!I29=0," ",(IF(Upis!I29="n","n",VALUE(Upis!I29))))</f>
        <v> </v>
      </c>
      <c r="J29" s="315" t="str">
        <f>IF(Upis!J29=0," ",(IF(Upis!J29="n","n",VALUE(Upis!J29))))</f>
        <v> </v>
      </c>
      <c r="K29" s="315" t="str">
        <f>IF(Upis!K29=0," ",(IF(Upis!K29="n","n",VALUE(Upis!K29))))</f>
        <v> </v>
      </c>
      <c r="L29" s="315" t="str">
        <f>IF(Upis!L29=0," ",(IF(Upis!L29="n","n",VALUE(Upis!L29))))</f>
        <v> </v>
      </c>
      <c r="M29" s="315" t="str">
        <f>IF(Upis!M29=0," ",(IF(Upis!M29="n","n",VALUE(Upis!M29))))</f>
        <v> </v>
      </c>
      <c r="N29" s="315" t="str">
        <f>IF(Upis!N29=0," ",(IF(Upis!N29="n","n",VALUE(Upis!N29))))</f>
        <v> </v>
      </c>
      <c r="O29" s="315" t="str">
        <f>IF(Upis!O29=0," ",(IF(Upis!O29="n","n",VALUE(Upis!O29))))</f>
        <v> </v>
      </c>
      <c r="P29" s="315" t="str">
        <f>IF(Upis!P29=0," ",(IF(Upis!P29="n","n",VALUE(Upis!P29))))</f>
        <v> </v>
      </c>
      <c r="Q29" s="315">
        <f>VALUE(Upis!Q29)</f>
        <v>0</v>
      </c>
      <c r="R29" s="315">
        <f>VALUE(Upis!R29)</f>
        <v>0</v>
      </c>
      <c r="S29" s="315">
        <f>VALUE(Upis!S29)</f>
        <v>0</v>
      </c>
      <c r="T29" s="315">
        <f>VALUE(Upis!T29)</f>
        <v>0</v>
      </c>
      <c r="U29" s="315" t="str">
        <f>IF(Upis!U29=0," ",(IF(Upis!U29="n","n",VALUE(Upis!U29))))</f>
        <v> </v>
      </c>
      <c r="V29" s="307"/>
    </row>
    <row r="30" spans="1:22" ht="11.25" customHeight="1">
      <c r="A30" s="307">
        <v>28</v>
      </c>
      <c r="B30" s="314" t="str">
        <f>IF(Upis!B30=0," ",Upis!B30)</f>
        <v> </v>
      </c>
      <c r="C30" s="315" t="str">
        <f>IF(Upis!C30=0," ",(IF(Upis!C30="n","n",VALUE(Upis!C30))))</f>
        <v> </v>
      </c>
      <c r="D30" s="315" t="str">
        <f>IF(Upis!D30=0," ",(IF(Upis!D30="n","n",VALUE(Upis!D30))))</f>
        <v> </v>
      </c>
      <c r="E30" s="315" t="str">
        <f>IF(Upis!E30=0," ",(IF(Upis!E30="n","n",VALUE(Upis!E30))))</f>
        <v> </v>
      </c>
      <c r="F30" s="315" t="str">
        <f>IF(Upis!F30=0," ",(IF(Upis!F30="n","n",VALUE(Upis!F30))))</f>
        <v> </v>
      </c>
      <c r="G30" s="315" t="str">
        <f>IF(Upis!G30=0," ",(IF(Upis!G30="n","n",VALUE(Upis!G30))))</f>
        <v> </v>
      </c>
      <c r="H30" s="315" t="str">
        <f>IF(Upis!H30=0," ",(IF(Upis!H30="n","n",VALUE(Upis!H30))))</f>
        <v> </v>
      </c>
      <c r="I30" s="315" t="str">
        <f>IF(Upis!I30=0," ",(IF(Upis!I30="n","n",VALUE(Upis!I30))))</f>
        <v> </v>
      </c>
      <c r="J30" s="315" t="str">
        <f>IF(Upis!J30=0," ",(IF(Upis!J30="n","n",VALUE(Upis!J30))))</f>
        <v> </v>
      </c>
      <c r="K30" s="315" t="str">
        <f>IF(Upis!K30=0," ",(IF(Upis!K30="n","n",VALUE(Upis!K30))))</f>
        <v> </v>
      </c>
      <c r="L30" s="315" t="str">
        <f>IF(Upis!L30=0," ",(IF(Upis!L30="n","n",VALUE(Upis!L30))))</f>
        <v> </v>
      </c>
      <c r="M30" s="315" t="str">
        <f>IF(Upis!M30=0," ",(IF(Upis!M30="n","n",VALUE(Upis!M30))))</f>
        <v> </v>
      </c>
      <c r="N30" s="315" t="str">
        <f>IF(Upis!N30=0," ",(IF(Upis!N30="n","n",VALUE(Upis!N30))))</f>
        <v> </v>
      </c>
      <c r="O30" s="315" t="str">
        <f>IF(Upis!O30=0," ",(IF(Upis!O30="n","n",VALUE(Upis!O30))))</f>
        <v> </v>
      </c>
      <c r="P30" s="315" t="str">
        <f>IF(Upis!P30=0," ",(IF(Upis!P30="n","n",VALUE(Upis!P30))))</f>
        <v> </v>
      </c>
      <c r="Q30" s="315">
        <f>VALUE(Upis!Q30)</f>
        <v>0</v>
      </c>
      <c r="R30" s="315">
        <f>VALUE(Upis!R30)</f>
        <v>0</v>
      </c>
      <c r="S30" s="315">
        <f>VALUE(Upis!S30)</f>
        <v>0</v>
      </c>
      <c r="T30" s="315">
        <f>VALUE(Upis!T30)</f>
        <v>0</v>
      </c>
      <c r="U30" s="315" t="str">
        <f>IF(Upis!U30=0," ",(IF(Upis!U30="n","n",VALUE(Upis!U30))))</f>
        <v> </v>
      </c>
      <c r="V30" s="307"/>
    </row>
    <row r="31" spans="1:22" ht="11.25" customHeight="1">
      <c r="A31" s="307">
        <v>29</v>
      </c>
      <c r="B31" s="314" t="str">
        <f>IF(Upis!B31=0," ",Upis!B31)</f>
        <v> </v>
      </c>
      <c r="C31" s="315" t="str">
        <f>IF(Upis!C31=0," ",(IF(Upis!C31="n","n",VALUE(Upis!C31))))</f>
        <v> </v>
      </c>
      <c r="D31" s="315" t="str">
        <f>IF(Upis!D31=0," ",(IF(Upis!D31="n","n",VALUE(Upis!D31))))</f>
        <v> </v>
      </c>
      <c r="E31" s="315" t="str">
        <f>IF(Upis!E31=0," ",(IF(Upis!E31="n","n",VALUE(Upis!E31))))</f>
        <v> </v>
      </c>
      <c r="F31" s="315" t="str">
        <f>IF(Upis!F31=0," ",(IF(Upis!F31="n","n",VALUE(Upis!F31))))</f>
        <v> </v>
      </c>
      <c r="G31" s="315" t="str">
        <f>IF(Upis!G31=0," ",(IF(Upis!G31="n","n",VALUE(Upis!G31))))</f>
        <v> </v>
      </c>
      <c r="H31" s="315" t="str">
        <f>IF(Upis!H31=0," ",(IF(Upis!H31="n","n",VALUE(Upis!H31))))</f>
        <v> </v>
      </c>
      <c r="I31" s="315" t="str">
        <f>IF(Upis!I31=0," ",(IF(Upis!I31="n","n",VALUE(Upis!I31))))</f>
        <v> </v>
      </c>
      <c r="J31" s="315" t="str">
        <f>IF(Upis!J31=0," ",(IF(Upis!J31="n","n",VALUE(Upis!J31))))</f>
        <v> </v>
      </c>
      <c r="K31" s="315" t="str">
        <f>IF(Upis!K31=0," ",(IF(Upis!K31="n","n",VALUE(Upis!K31))))</f>
        <v> </v>
      </c>
      <c r="L31" s="315" t="str">
        <f>IF(Upis!L31=0," ",(IF(Upis!L31="n","n",VALUE(Upis!L31))))</f>
        <v> </v>
      </c>
      <c r="M31" s="315" t="str">
        <f>IF(Upis!M31=0," ",(IF(Upis!M31="n","n",VALUE(Upis!M31))))</f>
        <v> </v>
      </c>
      <c r="N31" s="315" t="str">
        <f>IF(Upis!N31=0," ",(IF(Upis!N31="n","n",VALUE(Upis!N31))))</f>
        <v> </v>
      </c>
      <c r="O31" s="315" t="str">
        <f>IF(Upis!O31=0," ",(IF(Upis!O31="n","n",VALUE(Upis!O31))))</f>
        <v> </v>
      </c>
      <c r="P31" s="315" t="str">
        <f>IF(Upis!P31=0," ",(IF(Upis!P31="n","n",VALUE(Upis!P31))))</f>
        <v> </v>
      </c>
      <c r="Q31" s="315">
        <f>VALUE(Upis!Q31)</f>
        <v>0</v>
      </c>
      <c r="R31" s="315">
        <f>VALUE(Upis!R31)</f>
        <v>0</v>
      </c>
      <c r="S31" s="315">
        <f>VALUE(Upis!S31)</f>
        <v>0</v>
      </c>
      <c r="T31" s="315">
        <f>VALUE(Upis!T31)</f>
        <v>0</v>
      </c>
      <c r="U31" s="315" t="str">
        <f>IF(Upis!U31=0," ",(IF(Upis!U31="n","n",VALUE(Upis!U31))))</f>
        <v> </v>
      </c>
      <c r="V31" s="307"/>
    </row>
    <row r="32" spans="1:22" ht="11.25" customHeight="1">
      <c r="A32" s="307">
        <v>30</v>
      </c>
      <c r="B32" s="314" t="str">
        <f>IF(Upis!B32=0," ",Upis!B32)</f>
        <v> </v>
      </c>
      <c r="C32" s="315" t="str">
        <f>IF(Upis!C32=0," ",(IF(Upis!C32="n","n",VALUE(Upis!C32))))</f>
        <v> </v>
      </c>
      <c r="D32" s="315" t="str">
        <f>IF(Upis!D32=0," ",(IF(Upis!D32="n","n",VALUE(Upis!D32))))</f>
        <v> </v>
      </c>
      <c r="E32" s="315" t="str">
        <f>IF(Upis!E32=0," ",(IF(Upis!E32="n","n",VALUE(Upis!E32))))</f>
        <v> </v>
      </c>
      <c r="F32" s="315" t="str">
        <f>IF(Upis!F32=0," ",(IF(Upis!F32="n","n",VALUE(Upis!F32))))</f>
        <v> </v>
      </c>
      <c r="G32" s="315" t="str">
        <f>IF(Upis!G32=0," ",(IF(Upis!G32="n","n",VALUE(Upis!G32))))</f>
        <v> </v>
      </c>
      <c r="H32" s="315" t="str">
        <f>IF(Upis!H32=0," ",(IF(Upis!H32="n","n",VALUE(Upis!H32))))</f>
        <v> </v>
      </c>
      <c r="I32" s="315" t="str">
        <f>IF(Upis!I32=0," ",(IF(Upis!I32="n","n",VALUE(Upis!I32))))</f>
        <v> </v>
      </c>
      <c r="J32" s="315" t="str">
        <f>IF(Upis!J32=0," ",(IF(Upis!J32="n","n",VALUE(Upis!J32))))</f>
        <v> </v>
      </c>
      <c r="K32" s="315" t="str">
        <f>IF(Upis!K32=0," ",(IF(Upis!K32="n","n",VALUE(Upis!K32))))</f>
        <v> </v>
      </c>
      <c r="L32" s="315" t="str">
        <f>IF(Upis!L32=0," ",(IF(Upis!L32="n","n",VALUE(Upis!L32))))</f>
        <v> </v>
      </c>
      <c r="M32" s="315" t="str">
        <f>IF(Upis!M32=0," ",(IF(Upis!M32="n","n",VALUE(Upis!M32))))</f>
        <v> </v>
      </c>
      <c r="N32" s="315" t="str">
        <f>IF(Upis!N32=0," ",(IF(Upis!N32="n","n",VALUE(Upis!N32))))</f>
        <v> </v>
      </c>
      <c r="O32" s="315" t="str">
        <f>IF(Upis!O32=0," ",(IF(Upis!O32="n","n",VALUE(Upis!O32))))</f>
        <v> </v>
      </c>
      <c r="P32" s="315" t="str">
        <f>IF(Upis!P32=0," ",(IF(Upis!P32="n","n",VALUE(Upis!P32))))</f>
        <v> </v>
      </c>
      <c r="Q32" s="315">
        <f>VALUE(Upis!Q32)</f>
        <v>0</v>
      </c>
      <c r="R32" s="315">
        <f>VALUE(Upis!R32)</f>
        <v>0</v>
      </c>
      <c r="S32" s="315">
        <f>VALUE(Upis!S32)</f>
        <v>0</v>
      </c>
      <c r="T32" s="315">
        <f>VALUE(Upis!T32)</f>
        <v>0</v>
      </c>
      <c r="U32" s="315" t="str">
        <f>IF(Upis!U32=0," ",(IF(Upis!U32="n","n",VALUE(Upis!U32))))</f>
        <v> </v>
      </c>
      <c r="V32" s="307"/>
    </row>
    <row r="33" spans="1:22" ht="11.25" customHeight="1">
      <c r="A33" s="307">
        <v>31</v>
      </c>
      <c r="B33" s="314" t="str">
        <f>IF(Upis!B33=0," ",Upis!B33)</f>
        <v> </v>
      </c>
      <c r="C33" s="315" t="str">
        <f>IF(Upis!C33=0," ",(IF(Upis!C33="n","n",VALUE(Upis!C33))))</f>
        <v> </v>
      </c>
      <c r="D33" s="315" t="str">
        <f>IF(Upis!D33=0," ",(IF(Upis!D33="n","n",VALUE(Upis!D33))))</f>
        <v> </v>
      </c>
      <c r="E33" s="315" t="str">
        <f>IF(Upis!E33=0," ",(IF(Upis!E33="n","n",VALUE(Upis!E33))))</f>
        <v> </v>
      </c>
      <c r="F33" s="315" t="str">
        <f>IF(Upis!F33=0," ",(IF(Upis!F33="n","n",VALUE(Upis!F33))))</f>
        <v> </v>
      </c>
      <c r="G33" s="315" t="str">
        <f>IF(Upis!G33=0," ",(IF(Upis!G33="n","n",VALUE(Upis!G33))))</f>
        <v> </v>
      </c>
      <c r="H33" s="315" t="str">
        <f>IF(Upis!H33=0," ",(IF(Upis!H33="n","n",VALUE(Upis!H33))))</f>
        <v> </v>
      </c>
      <c r="I33" s="315" t="str">
        <f>IF(Upis!I33=0," ",(IF(Upis!I33="n","n",VALUE(Upis!I33))))</f>
        <v> </v>
      </c>
      <c r="J33" s="315" t="str">
        <f>IF(Upis!J33=0," ",(IF(Upis!J33="n","n",VALUE(Upis!J33))))</f>
        <v> </v>
      </c>
      <c r="K33" s="315" t="str">
        <f>IF(Upis!K33=0," ",(IF(Upis!K33="n","n",VALUE(Upis!K33))))</f>
        <v> </v>
      </c>
      <c r="L33" s="315" t="str">
        <f>IF(Upis!L33=0," ",(IF(Upis!L33="n","n",VALUE(Upis!L33))))</f>
        <v> </v>
      </c>
      <c r="M33" s="315" t="str">
        <f>IF(Upis!M33=0," ",(IF(Upis!M33="n","n",VALUE(Upis!M33))))</f>
        <v> </v>
      </c>
      <c r="N33" s="315" t="str">
        <f>IF(Upis!N33=0," ",(IF(Upis!N33="n","n",VALUE(Upis!N33))))</f>
        <v> </v>
      </c>
      <c r="O33" s="315" t="str">
        <f>IF(Upis!O33=0," ",(IF(Upis!O33="n","n",VALUE(Upis!O33))))</f>
        <v> </v>
      </c>
      <c r="P33" s="315" t="str">
        <f>IF(Upis!P33=0," ",(IF(Upis!P33="n","n",VALUE(Upis!P33))))</f>
        <v> </v>
      </c>
      <c r="Q33" s="315">
        <f>VALUE(Upis!Q33)</f>
        <v>0</v>
      </c>
      <c r="R33" s="315">
        <f>VALUE(Upis!R33)</f>
        <v>0</v>
      </c>
      <c r="S33" s="315">
        <f>VALUE(Upis!S33)</f>
        <v>0</v>
      </c>
      <c r="T33" s="315">
        <f>VALUE(Upis!T33)</f>
        <v>0</v>
      </c>
      <c r="U33" s="315" t="str">
        <f>IF(Upis!U33=0," ",(IF(Upis!U33="n","n",VALUE(Upis!U33))))</f>
        <v> </v>
      </c>
      <c r="V33" s="307"/>
    </row>
    <row r="34" spans="1:22" ht="11.25" customHeight="1">
      <c r="A34" s="307">
        <v>32</v>
      </c>
      <c r="B34" s="314" t="str">
        <f>IF(Upis!B34=0," ",Upis!B34)</f>
        <v> </v>
      </c>
      <c r="C34" s="315" t="str">
        <f>IF(Upis!C34=0," ",(IF(Upis!C34="n","n",VALUE(Upis!C34))))</f>
        <v> </v>
      </c>
      <c r="D34" s="315" t="str">
        <f>IF(Upis!D34=0," ",(IF(Upis!D34="n","n",VALUE(Upis!D34))))</f>
        <v> </v>
      </c>
      <c r="E34" s="315" t="str">
        <f>IF(Upis!E34=0," ",(IF(Upis!E34="n","n",VALUE(Upis!E34))))</f>
        <v> </v>
      </c>
      <c r="F34" s="315" t="str">
        <f>IF(Upis!F34=0," ",(IF(Upis!F34="n","n",VALUE(Upis!F34))))</f>
        <v> </v>
      </c>
      <c r="G34" s="315" t="str">
        <f>IF(Upis!G34=0," ",(IF(Upis!G34="n","n",VALUE(Upis!G34))))</f>
        <v> </v>
      </c>
      <c r="H34" s="315" t="str">
        <f>IF(Upis!H34=0," ",(IF(Upis!H34="n","n",VALUE(Upis!H34))))</f>
        <v> </v>
      </c>
      <c r="I34" s="315" t="str">
        <f>IF(Upis!I34=0," ",(IF(Upis!I34="n","n",VALUE(Upis!I34))))</f>
        <v> </v>
      </c>
      <c r="J34" s="315" t="str">
        <f>IF(Upis!J34=0," ",(IF(Upis!J34="n","n",VALUE(Upis!J34))))</f>
        <v> </v>
      </c>
      <c r="K34" s="315" t="str">
        <f>IF(Upis!K34=0," ",(IF(Upis!K34="n","n",VALUE(Upis!K34))))</f>
        <v> </v>
      </c>
      <c r="L34" s="315" t="str">
        <f>IF(Upis!L34=0," ",(IF(Upis!L34="n","n",VALUE(Upis!L34))))</f>
        <v> </v>
      </c>
      <c r="M34" s="315" t="str">
        <f>IF(Upis!M34=0," ",(IF(Upis!M34="n","n",VALUE(Upis!M34))))</f>
        <v> </v>
      </c>
      <c r="N34" s="315" t="str">
        <f>IF(Upis!N34=0," ",(IF(Upis!N34="n","n",VALUE(Upis!N34))))</f>
        <v> </v>
      </c>
      <c r="O34" s="315" t="str">
        <f>IF(Upis!O34=0," ",(IF(Upis!O34="n","n",VALUE(Upis!O34))))</f>
        <v> </v>
      </c>
      <c r="P34" s="315" t="str">
        <f>IF(Upis!P34=0," ",(IF(Upis!P34="n","n",VALUE(Upis!P34))))</f>
        <v> </v>
      </c>
      <c r="Q34" s="315">
        <f>VALUE(Upis!Q34)</f>
        <v>0</v>
      </c>
      <c r="R34" s="315">
        <f>VALUE(Upis!R34)</f>
        <v>0</v>
      </c>
      <c r="S34" s="315">
        <f>VALUE(Upis!S34)</f>
        <v>0</v>
      </c>
      <c r="T34" s="315">
        <f>VALUE(Upis!T34)</f>
        <v>0</v>
      </c>
      <c r="U34" s="315" t="str">
        <f>IF(Upis!U34=0," ",(IF(Upis!U34="n","n",VALUE(Upis!U34))))</f>
        <v> </v>
      </c>
      <c r="V34" s="307"/>
    </row>
    <row r="35" spans="1:22" ht="11.25" customHeight="1">
      <c r="A35" s="307">
        <v>33</v>
      </c>
      <c r="B35" s="314" t="str">
        <f>IF(Upis!B35=0," ",Upis!B35)</f>
        <v> </v>
      </c>
      <c r="C35" s="315" t="str">
        <f>IF(Upis!C35=0," ",(IF(Upis!C35="n","n",VALUE(Upis!C35))))</f>
        <v> </v>
      </c>
      <c r="D35" s="315" t="str">
        <f>IF(Upis!D35=0," ",(IF(Upis!D35="n","n",VALUE(Upis!D35))))</f>
        <v> </v>
      </c>
      <c r="E35" s="315" t="str">
        <f>IF(Upis!E35=0," ",(IF(Upis!E35="n","n",VALUE(Upis!E35))))</f>
        <v> </v>
      </c>
      <c r="F35" s="315" t="str">
        <f>IF(Upis!F35=0," ",(IF(Upis!F35="n","n",VALUE(Upis!F35))))</f>
        <v> </v>
      </c>
      <c r="G35" s="315" t="str">
        <f>IF(Upis!G35=0," ",(IF(Upis!G35="n","n",VALUE(Upis!G35))))</f>
        <v> </v>
      </c>
      <c r="H35" s="315" t="str">
        <f>IF(Upis!H35=0," ",(IF(Upis!H35="n","n",VALUE(Upis!H35))))</f>
        <v> </v>
      </c>
      <c r="I35" s="315" t="str">
        <f>IF(Upis!I35=0," ",(IF(Upis!I35="n","n",VALUE(Upis!I35))))</f>
        <v> </v>
      </c>
      <c r="J35" s="315" t="str">
        <f>IF(Upis!J35=0," ",(IF(Upis!J35="n","n",VALUE(Upis!J35))))</f>
        <v> </v>
      </c>
      <c r="K35" s="315" t="str">
        <f>IF(Upis!K35=0," ",(IF(Upis!K35="n","n",VALUE(Upis!K35))))</f>
        <v> </v>
      </c>
      <c r="L35" s="315" t="str">
        <f>IF(Upis!L35=0," ",(IF(Upis!L35="n","n",VALUE(Upis!L35))))</f>
        <v> </v>
      </c>
      <c r="M35" s="315" t="str">
        <f>IF(Upis!M35=0," ",(IF(Upis!M35="n","n",VALUE(Upis!M35))))</f>
        <v> </v>
      </c>
      <c r="N35" s="315" t="str">
        <f>IF(Upis!N35=0," ",(IF(Upis!N35="n","n",VALUE(Upis!N35))))</f>
        <v> </v>
      </c>
      <c r="O35" s="315" t="str">
        <f>IF(Upis!O35=0," ",(IF(Upis!O35="n","n",VALUE(Upis!O35))))</f>
        <v> </v>
      </c>
      <c r="P35" s="315" t="str">
        <f>IF(Upis!P35=0," ",(IF(Upis!P35="n","n",VALUE(Upis!P35))))</f>
        <v> </v>
      </c>
      <c r="Q35" s="315">
        <f>VALUE(Upis!Q35)</f>
        <v>0</v>
      </c>
      <c r="R35" s="315">
        <f>VALUE(Upis!R35)</f>
        <v>0</v>
      </c>
      <c r="S35" s="315">
        <f>VALUE(Upis!S35)</f>
        <v>0</v>
      </c>
      <c r="T35" s="315">
        <f>VALUE(Upis!T35)</f>
        <v>0</v>
      </c>
      <c r="U35" s="315" t="str">
        <f>IF(Upis!U35=0," ",(IF(Upis!U35="n","n",VALUE(Upis!U35))))</f>
        <v> </v>
      </c>
      <c r="V35" s="307"/>
    </row>
    <row r="36" spans="1:22" ht="11.25" customHeight="1">
      <c r="A36" s="307">
        <v>34</v>
      </c>
      <c r="B36" s="314" t="str">
        <f>IF(Upis!B36=0," ",Upis!B36)</f>
        <v> </v>
      </c>
      <c r="C36" s="315" t="str">
        <f>IF(Upis!C36=0," ",(IF(Upis!C36="n","n",VALUE(Upis!C36))))</f>
        <v> </v>
      </c>
      <c r="D36" s="315" t="str">
        <f>IF(Upis!D36=0," ",(IF(Upis!D36="n","n",VALUE(Upis!D36))))</f>
        <v> </v>
      </c>
      <c r="E36" s="315" t="str">
        <f>IF(Upis!E36=0," ",(IF(Upis!E36="n","n",VALUE(Upis!E36))))</f>
        <v> </v>
      </c>
      <c r="F36" s="315" t="str">
        <f>IF(Upis!F36=0," ",(IF(Upis!F36="n","n",VALUE(Upis!F36))))</f>
        <v> </v>
      </c>
      <c r="G36" s="315" t="str">
        <f>IF(Upis!G36=0," ",(IF(Upis!G36="n","n",VALUE(Upis!G36))))</f>
        <v> </v>
      </c>
      <c r="H36" s="315" t="str">
        <f>IF(Upis!H36=0," ",(IF(Upis!H36="n","n",VALUE(Upis!H36))))</f>
        <v> </v>
      </c>
      <c r="I36" s="315" t="str">
        <f>IF(Upis!I36=0," ",(IF(Upis!I36="n","n",VALUE(Upis!I36))))</f>
        <v> </v>
      </c>
      <c r="J36" s="315" t="str">
        <f>IF(Upis!J36=0," ",(IF(Upis!J36="n","n",VALUE(Upis!J36))))</f>
        <v> </v>
      </c>
      <c r="K36" s="315" t="str">
        <f>IF(Upis!K36=0," ",(IF(Upis!K36="n","n",VALUE(Upis!K36))))</f>
        <v> </v>
      </c>
      <c r="L36" s="315" t="str">
        <f>IF(Upis!L36=0," ",(IF(Upis!L36="n","n",VALUE(Upis!L36))))</f>
        <v> </v>
      </c>
      <c r="M36" s="315" t="str">
        <f>IF(Upis!M36=0," ",(IF(Upis!M36="n","n",VALUE(Upis!M36))))</f>
        <v> </v>
      </c>
      <c r="N36" s="315" t="str">
        <f>IF(Upis!N36=0," ",(IF(Upis!N36="n","n",VALUE(Upis!N36))))</f>
        <v> </v>
      </c>
      <c r="O36" s="315" t="str">
        <f>IF(Upis!O36=0," ",(IF(Upis!O36="n","n",VALUE(Upis!O36))))</f>
        <v> </v>
      </c>
      <c r="P36" s="315" t="str">
        <f>IF(Upis!P36=0," ",(IF(Upis!P36="n","n",VALUE(Upis!P36))))</f>
        <v> </v>
      </c>
      <c r="Q36" s="315">
        <f>VALUE(Upis!Q36)</f>
        <v>0</v>
      </c>
      <c r="R36" s="315">
        <f>VALUE(Upis!R36)</f>
        <v>0</v>
      </c>
      <c r="S36" s="315">
        <f>VALUE(Upis!S36)</f>
        <v>0</v>
      </c>
      <c r="T36" s="315">
        <f>VALUE(Upis!T36)</f>
        <v>0</v>
      </c>
      <c r="U36" s="315" t="str">
        <f>IF(Upis!U36=0," ",(IF(Upis!U36="n","n",VALUE(Upis!U36))))</f>
        <v> </v>
      </c>
      <c r="V36" s="307"/>
    </row>
    <row r="37" spans="1:22" ht="11.25" customHeight="1">
      <c r="A37" s="307">
        <v>35</v>
      </c>
      <c r="B37" s="314" t="str">
        <f>IF(Upis!B37=0," ",Upis!B37)</f>
        <v> </v>
      </c>
      <c r="C37" s="315" t="str">
        <f>IF(Upis!C37=0," ",(IF(Upis!C37="n","n",VALUE(Upis!C37))))</f>
        <v> </v>
      </c>
      <c r="D37" s="315" t="str">
        <f>IF(Upis!D37=0," ",(IF(Upis!D37="n","n",VALUE(Upis!D37))))</f>
        <v> </v>
      </c>
      <c r="E37" s="315" t="str">
        <f>IF(Upis!E37=0," ",(IF(Upis!E37="n","n",VALUE(Upis!E37))))</f>
        <v> </v>
      </c>
      <c r="F37" s="315" t="str">
        <f>IF(Upis!F37=0," ",(IF(Upis!F37="n","n",VALUE(Upis!F37))))</f>
        <v> </v>
      </c>
      <c r="G37" s="315" t="str">
        <f>IF(Upis!G37=0," ",(IF(Upis!G37="n","n",VALUE(Upis!G37))))</f>
        <v> </v>
      </c>
      <c r="H37" s="315" t="str">
        <f>IF(Upis!H37=0," ",(IF(Upis!H37="n","n",VALUE(Upis!H37))))</f>
        <v> </v>
      </c>
      <c r="I37" s="315" t="str">
        <f>IF(Upis!I37=0," ",(IF(Upis!I37="n","n",VALUE(Upis!I37))))</f>
        <v> </v>
      </c>
      <c r="J37" s="315" t="str">
        <f>IF(Upis!J37=0," ",(IF(Upis!J37="n","n",VALUE(Upis!J37))))</f>
        <v> </v>
      </c>
      <c r="K37" s="315" t="str">
        <f>IF(Upis!K37=0," ",(IF(Upis!K37="n","n",VALUE(Upis!K37))))</f>
        <v> </v>
      </c>
      <c r="L37" s="315" t="str">
        <f>IF(Upis!L37=0," ",(IF(Upis!L37="n","n",VALUE(Upis!L37))))</f>
        <v> </v>
      </c>
      <c r="M37" s="315" t="str">
        <f>IF(Upis!M37=0," ",(IF(Upis!M37="n","n",VALUE(Upis!M37))))</f>
        <v> </v>
      </c>
      <c r="N37" s="315" t="str">
        <f>IF(Upis!N37=0," ",(IF(Upis!N37="n","n",VALUE(Upis!N37))))</f>
        <v> </v>
      </c>
      <c r="O37" s="315" t="str">
        <f>IF(Upis!O37=0," ",(IF(Upis!O37="n","n",VALUE(Upis!O37))))</f>
        <v> </v>
      </c>
      <c r="P37" s="315" t="str">
        <f>IF(Upis!P37=0," ",(IF(Upis!P37="n","n",VALUE(Upis!P37))))</f>
        <v> </v>
      </c>
      <c r="Q37" s="315">
        <f>VALUE(Upis!Q37)</f>
        <v>0</v>
      </c>
      <c r="R37" s="315">
        <f>VALUE(Upis!R37)</f>
        <v>0</v>
      </c>
      <c r="S37" s="315">
        <f>VALUE(Upis!S37)</f>
        <v>0</v>
      </c>
      <c r="T37" s="315">
        <f>VALUE(Upis!T37)</f>
        <v>0</v>
      </c>
      <c r="U37" s="315" t="str">
        <f>IF(Upis!U37=0," ",(IF(Upis!U37="n","n",VALUE(Upis!U37))))</f>
        <v> </v>
      </c>
      <c r="V37" s="307"/>
    </row>
    <row r="38" spans="1:22" ht="11.25" customHeight="1">
      <c r="A38" s="307">
        <v>36</v>
      </c>
      <c r="B38" s="314" t="str">
        <f>IF(Upis!B38=0," ",Upis!B38)</f>
        <v> </v>
      </c>
      <c r="C38" s="315" t="str">
        <f>IF(Upis!C38=0," ",(IF(Upis!C38="n","n",VALUE(Upis!C38))))</f>
        <v> </v>
      </c>
      <c r="D38" s="315" t="str">
        <f>IF(Upis!D38=0," ",(IF(Upis!D38="n","n",VALUE(Upis!D38))))</f>
        <v> </v>
      </c>
      <c r="E38" s="315" t="str">
        <f>IF(Upis!E38=0," ",(IF(Upis!E38="n","n",VALUE(Upis!E38))))</f>
        <v> </v>
      </c>
      <c r="F38" s="315" t="str">
        <f>IF(Upis!F38=0," ",(IF(Upis!F38="n","n",VALUE(Upis!F38))))</f>
        <v> </v>
      </c>
      <c r="G38" s="315" t="str">
        <f>IF(Upis!G38=0," ",(IF(Upis!G38="n","n",VALUE(Upis!G38))))</f>
        <v> </v>
      </c>
      <c r="H38" s="315" t="str">
        <f>IF(Upis!H38=0," ",(IF(Upis!H38="n","n",VALUE(Upis!H38))))</f>
        <v> </v>
      </c>
      <c r="I38" s="315" t="str">
        <f>IF(Upis!I38=0," ",(IF(Upis!I38="n","n",VALUE(Upis!I38))))</f>
        <v> </v>
      </c>
      <c r="J38" s="315" t="str">
        <f>IF(Upis!J38=0," ",(IF(Upis!J38="n","n",VALUE(Upis!J38))))</f>
        <v> </v>
      </c>
      <c r="K38" s="315" t="str">
        <f>IF(Upis!K38=0," ",(IF(Upis!K38="n","n",VALUE(Upis!K38))))</f>
        <v> </v>
      </c>
      <c r="L38" s="315" t="str">
        <f>IF(Upis!L38=0," ",(IF(Upis!L38="n","n",VALUE(Upis!L38))))</f>
        <v> </v>
      </c>
      <c r="M38" s="315" t="str">
        <f>IF(Upis!M38=0," ",(IF(Upis!M38="n","n",VALUE(Upis!M38))))</f>
        <v> </v>
      </c>
      <c r="N38" s="315" t="str">
        <f>IF(Upis!N38=0," ",(IF(Upis!N38="n","n",VALUE(Upis!N38))))</f>
        <v> </v>
      </c>
      <c r="O38" s="315" t="str">
        <f>IF(Upis!O38=0," ",(IF(Upis!O38="n","n",VALUE(Upis!O38))))</f>
        <v> </v>
      </c>
      <c r="P38" s="315" t="str">
        <f>IF(Upis!P38=0," ",(IF(Upis!P38="n","n",VALUE(Upis!P38))))</f>
        <v> </v>
      </c>
      <c r="Q38" s="315">
        <f>VALUE(Upis!Q38)</f>
        <v>0</v>
      </c>
      <c r="R38" s="315">
        <f>VALUE(Upis!R38)</f>
        <v>0</v>
      </c>
      <c r="S38" s="315">
        <f>VALUE(Upis!S38)</f>
        <v>0</v>
      </c>
      <c r="T38" s="315">
        <f>VALUE(Upis!T38)</f>
        <v>0</v>
      </c>
      <c r="U38" s="315" t="str">
        <f>IF(Upis!U38=0," ",(IF(Upis!U38="n","n",VALUE(Upis!U38))))</f>
        <v> </v>
      </c>
      <c r="V38" s="307"/>
    </row>
    <row r="39" spans="1:22" ht="11.25" customHeight="1">
      <c r="A39" s="307">
        <v>37</v>
      </c>
      <c r="B39" s="314" t="str">
        <f>IF(Upis!B39=0," ",Upis!B39)</f>
        <v> </v>
      </c>
      <c r="C39" s="315" t="str">
        <f>IF(Upis!C39=0," ",(IF(Upis!C39="n","n",VALUE(Upis!C39))))</f>
        <v> </v>
      </c>
      <c r="D39" s="315" t="str">
        <f>IF(Upis!D39=0," ",(IF(Upis!D39="n","n",VALUE(Upis!D39))))</f>
        <v> </v>
      </c>
      <c r="E39" s="315" t="str">
        <f>IF(Upis!E39=0," ",(IF(Upis!E39="n","n",VALUE(Upis!E39))))</f>
        <v> </v>
      </c>
      <c r="F39" s="315" t="str">
        <f>IF(Upis!F39=0," ",(IF(Upis!F39="n","n",VALUE(Upis!F39))))</f>
        <v> </v>
      </c>
      <c r="G39" s="315" t="str">
        <f>IF(Upis!G39=0," ",(IF(Upis!G39="n","n",VALUE(Upis!G39))))</f>
        <v> </v>
      </c>
      <c r="H39" s="315" t="str">
        <f>IF(Upis!H39=0," ",(IF(Upis!H39="n","n",VALUE(Upis!H39))))</f>
        <v> </v>
      </c>
      <c r="I39" s="315" t="str">
        <f>IF(Upis!I39=0," ",(IF(Upis!I39="n","n",VALUE(Upis!I39))))</f>
        <v> </v>
      </c>
      <c r="J39" s="315" t="str">
        <f>IF(Upis!J39=0," ",(IF(Upis!J39="n","n",VALUE(Upis!J39))))</f>
        <v> </v>
      </c>
      <c r="K39" s="315" t="str">
        <f>IF(Upis!K39=0," ",(IF(Upis!K39="n","n",VALUE(Upis!K39))))</f>
        <v> </v>
      </c>
      <c r="L39" s="315" t="str">
        <f>IF(Upis!L39=0," ",(IF(Upis!L39="n","n",VALUE(Upis!L39))))</f>
        <v> </v>
      </c>
      <c r="M39" s="315" t="str">
        <f>IF(Upis!M39=0," ",(IF(Upis!M39="n","n",VALUE(Upis!M39))))</f>
        <v> </v>
      </c>
      <c r="N39" s="315" t="str">
        <f>IF(Upis!N39=0," ",(IF(Upis!N39="n","n",VALUE(Upis!N39))))</f>
        <v> </v>
      </c>
      <c r="O39" s="315" t="str">
        <f>IF(Upis!O39=0," ",(IF(Upis!O39="n","n",VALUE(Upis!O39))))</f>
        <v> </v>
      </c>
      <c r="P39" s="315" t="str">
        <f>IF(Upis!P39=0," ",(IF(Upis!P39="n","n",VALUE(Upis!P39))))</f>
        <v> </v>
      </c>
      <c r="Q39" s="315">
        <f>VALUE(Upis!Q39)</f>
        <v>0</v>
      </c>
      <c r="R39" s="315">
        <f>VALUE(Upis!R39)</f>
        <v>0</v>
      </c>
      <c r="S39" s="315">
        <f>VALUE(Upis!S39)</f>
        <v>0</v>
      </c>
      <c r="T39" s="315">
        <f>VALUE(Upis!T39)</f>
        <v>0</v>
      </c>
      <c r="U39" s="315" t="str">
        <f>IF(Upis!U39=0," ",(IF(Upis!U39="n","n",VALUE(Upis!U39))))</f>
        <v> </v>
      </c>
      <c r="V39" s="307"/>
    </row>
    <row r="40" spans="1:22" ht="11.25" customHeight="1">
      <c r="A40" s="307">
        <v>38</v>
      </c>
      <c r="B40" s="314" t="str">
        <f>IF(Upis!B40=0," ",Upis!B40)</f>
        <v> </v>
      </c>
      <c r="C40" s="315" t="str">
        <f>IF(Upis!C40=0," ",(IF(Upis!C40="n","n",VALUE(Upis!C40))))</f>
        <v> </v>
      </c>
      <c r="D40" s="315" t="str">
        <f>IF(Upis!D40=0," ",(IF(Upis!D40="n","n",VALUE(Upis!D40))))</f>
        <v> </v>
      </c>
      <c r="E40" s="315" t="str">
        <f>IF(Upis!E40=0," ",(IF(Upis!E40="n","n",VALUE(Upis!E40))))</f>
        <v> </v>
      </c>
      <c r="F40" s="315" t="str">
        <f>IF(Upis!F40=0," ",(IF(Upis!F40="n","n",VALUE(Upis!F40))))</f>
        <v> </v>
      </c>
      <c r="G40" s="315" t="str">
        <f>IF(Upis!G40=0," ",(IF(Upis!G40="n","n",VALUE(Upis!G40))))</f>
        <v> </v>
      </c>
      <c r="H40" s="315" t="str">
        <f>IF(Upis!H40=0," ",(IF(Upis!H40="n","n",VALUE(Upis!H40))))</f>
        <v> </v>
      </c>
      <c r="I40" s="315" t="str">
        <f>IF(Upis!I40=0," ",(IF(Upis!I40="n","n",VALUE(Upis!I40))))</f>
        <v> </v>
      </c>
      <c r="J40" s="315" t="str">
        <f>IF(Upis!J40=0," ",(IF(Upis!J40="n","n",VALUE(Upis!J40))))</f>
        <v> </v>
      </c>
      <c r="K40" s="315" t="str">
        <f>IF(Upis!K40=0," ",(IF(Upis!K40="n","n",VALUE(Upis!K40))))</f>
        <v> </v>
      </c>
      <c r="L40" s="315" t="str">
        <f>IF(Upis!L40=0," ",(IF(Upis!L40="n","n",VALUE(Upis!L40))))</f>
        <v> </v>
      </c>
      <c r="M40" s="315" t="str">
        <f>IF(Upis!M40=0," ",(IF(Upis!M40="n","n",VALUE(Upis!M40))))</f>
        <v> </v>
      </c>
      <c r="N40" s="315" t="str">
        <f>IF(Upis!N40=0," ",(IF(Upis!N40="n","n",VALUE(Upis!N40))))</f>
        <v> </v>
      </c>
      <c r="O40" s="315" t="str">
        <f>IF(Upis!O40=0," ",(IF(Upis!O40="n","n",VALUE(Upis!O40))))</f>
        <v> </v>
      </c>
      <c r="P40" s="315" t="str">
        <f>IF(Upis!P40=0," ",(IF(Upis!P40="n","n",VALUE(Upis!P40))))</f>
        <v> </v>
      </c>
      <c r="Q40" s="315">
        <f>VALUE(Upis!Q40)</f>
        <v>0</v>
      </c>
      <c r="R40" s="315">
        <f>VALUE(Upis!R40)</f>
        <v>0</v>
      </c>
      <c r="S40" s="315">
        <f>VALUE(Upis!S40)</f>
        <v>0</v>
      </c>
      <c r="T40" s="315">
        <f>VALUE(Upis!T40)</f>
        <v>0</v>
      </c>
      <c r="U40" s="315" t="str">
        <f>IF(Upis!U40=0," ",(IF(Upis!U40="n","n",VALUE(Upis!U40))))</f>
        <v> </v>
      </c>
      <c r="V40" s="307"/>
    </row>
    <row r="41" spans="1:22" ht="11.25" customHeight="1">
      <c r="A41" s="307">
        <v>39</v>
      </c>
      <c r="B41" s="314" t="str">
        <f>IF(Upis!B41=0," ",Upis!B41)</f>
        <v> </v>
      </c>
      <c r="C41" s="315" t="str">
        <f>IF(Upis!C41=0," ",(IF(Upis!C41="n","n",VALUE(Upis!C41))))</f>
        <v> </v>
      </c>
      <c r="D41" s="315" t="str">
        <f>IF(Upis!D41=0," ",(IF(Upis!D41="n","n",VALUE(Upis!D41))))</f>
        <v> </v>
      </c>
      <c r="E41" s="315" t="str">
        <f>IF(Upis!E41=0," ",(IF(Upis!E41="n","n",VALUE(Upis!E41))))</f>
        <v> </v>
      </c>
      <c r="F41" s="315" t="str">
        <f>IF(Upis!F41=0," ",(IF(Upis!F41="n","n",VALUE(Upis!F41))))</f>
        <v> </v>
      </c>
      <c r="G41" s="315" t="str">
        <f>IF(Upis!G41=0," ",(IF(Upis!G41="n","n",VALUE(Upis!G41))))</f>
        <v> </v>
      </c>
      <c r="H41" s="315" t="str">
        <f>IF(Upis!H41=0," ",(IF(Upis!H41="n","n",VALUE(Upis!H41))))</f>
        <v> </v>
      </c>
      <c r="I41" s="315" t="str">
        <f>IF(Upis!I41=0," ",(IF(Upis!I41="n","n",VALUE(Upis!I41))))</f>
        <v> </v>
      </c>
      <c r="J41" s="315" t="str">
        <f>IF(Upis!J41=0," ",(IF(Upis!J41="n","n",VALUE(Upis!J41))))</f>
        <v> </v>
      </c>
      <c r="K41" s="315" t="str">
        <f>IF(Upis!K41=0," ",(IF(Upis!K41="n","n",VALUE(Upis!K41))))</f>
        <v> </v>
      </c>
      <c r="L41" s="315" t="str">
        <f>IF(Upis!L41=0," ",(IF(Upis!L41="n","n",VALUE(Upis!L41))))</f>
        <v> </v>
      </c>
      <c r="M41" s="315" t="str">
        <f>IF(Upis!M41=0," ",(IF(Upis!M41="n","n",VALUE(Upis!M41))))</f>
        <v> </v>
      </c>
      <c r="N41" s="315" t="str">
        <f>IF(Upis!N41=0," ",(IF(Upis!N41="n","n",VALUE(Upis!N41))))</f>
        <v> </v>
      </c>
      <c r="O41" s="315" t="str">
        <f>IF(Upis!O41=0," ",(IF(Upis!O41="n","n",VALUE(Upis!O41))))</f>
        <v> </v>
      </c>
      <c r="P41" s="315" t="str">
        <f>IF(Upis!P41=0," ",(IF(Upis!P41="n","n",VALUE(Upis!P41))))</f>
        <v> </v>
      </c>
      <c r="Q41" s="315">
        <f>VALUE(Upis!Q41)</f>
        <v>0</v>
      </c>
      <c r="R41" s="315">
        <f>VALUE(Upis!R41)</f>
        <v>0</v>
      </c>
      <c r="S41" s="315">
        <f>VALUE(Upis!S41)</f>
        <v>0</v>
      </c>
      <c r="T41" s="315">
        <f>VALUE(Upis!T41)</f>
        <v>0</v>
      </c>
      <c r="U41" s="315" t="str">
        <f>IF(Upis!U41=0," ",(IF(Upis!U41="n","n",VALUE(Upis!U41))))</f>
        <v> </v>
      </c>
      <c r="V41" s="307"/>
    </row>
    <row r="42" spans="1:22" ht="11.25" customHeight="1">
      <c r="A42" s="307">
        <v>40</v>
      </c>
      <c r="B42" s="314" t="str">
        <f>IF(Upis!B42=0," ",Upis!B42)</f>
        <v> </v>
      </c>
      <c r="C42" s="315" t="str">
        <f>IF(Upis!C42=0," ",(IF(Upis!C42="n","n",VALUE(Upis!C42))))</f>
        <v> </v>
      </c>
      <c r="D42" s="315" t="str">
        <f>IF(Upis!D42=0," ",(IF(Upis!D42="n","n",VALUE(Upis!D42))))</f>
        <v> </v>
      </c>
      <c r="E42" s="315" t="str">
        <f>IF(Upis!E42=0," ",(IF(Upis!E42="n","n",VALUE(Upis!E42))))</f>
        <v> </v>
      </c>
      <c r="F42" s="315" t="str">
        <f>IF(Upis!F42=0," ",(IF(Upis!F42="n","n",VALUE(Upis!F42))))</f>
        <v> </v>
      </c>
      <c r="G42" s="315" t="str">
        <f>IF(Upis!G42=0," ",(IF(Upis!G42="n","n",VALUE(Upis!G42))))</f>
        <v> </v>
      </c>
      <c r="H42" s="315" t="str">
        <f>IF(Upis!H42=0," ",(IF(Upis!H42="n","n",VALUE(Upis!H42))))</f>
        <v> </v>
      </c>
      <c r="I42" s="315" t="str">
        <f>IF(Upis!I42=0," ",(IF(Upis!I42="n","n",VALUE(Upis!I42))))</f>
        <v> </v>
      </c>
      <c r="J42" s="315" t="str">
        <f>IF(Upis!J42=0," ",(IF(Upis!J42="n","n",VALUE(Upis!J42))))</f>
        <v> </v>
      </c>
      <c r="K42" s="315" t="str">
        <f>IF(Upis!K42=0," ",(IF(Upis!K42="n","n",VALUE(Upis!K42))))</f>
        <v> </v>
      </c>
      <c r="L42" s="315" t="str">
        <f>IF(Upis!L42=0," ",(IF(Upis!L42="n","n",VALUE(Upis!L42))))</f>
        <v> </v>
      </c>
      <c r="M42" s="315" t="str">
        <f>IF(Upis!M42=0," ",(IF(Upis!M42="n","n",VALUE(Upis!M42))))</f>
        <v> </v>
      </c>
      <c r="N42" s="315" t="str">
        <f>IF(Upis!N42=0," ",(IF(Upis!N42="n","n",VALUE(Upis!N42))))</f>
        <v> </v>
      </c>
      <c r="O42" s="315" t="str">
        <f>IF(Upis!O42=0," ",(IF(Upis!O42="n","n",VALUE(Upis!O42))))</f>
        <v> </v>
      </c>
      <c r="P42" s="315" t="str">
        <f>IF(Upis!P42=0," ",(IF(Upis!P42="n","n",VALUE(Upis!P42))))</f>
        <v> </v>
      </c>
      <c r="Q42" s="315">
        <f>VALUE(Upis!Q42)</f>
        <v>0</v>
      </c>
      <c r="R42" s="315">
        <f>VALUE(Upis!R42)</f>
        <v>0</v>
      </c>
      <c r="S42" s="315">
        <f>VALUE(Upis!S42)</f>
        <v>0</v>
      </c>
      <c r="T42" s="315">
        <f>VALUE(Upis!T42)</f>
        <v>0</v>
      </c>
      <c r="U42" s="315" t="str">
        <f>IF(Upis!U42=0," ",(IF(Upis!U42="n","n",VALUE(Upis!U42))))</f>
        <v> </v>
      </c>
      <c r="V42" s="307"/>
    </row>
    <row r="43" spans="1:22" ht="12" customHeight="1">
      <c r="A43" s="305"/>
      <c r="B43" s="311"/>
      <c r="C43" s="316"/>
      <c r="D43" s="307"/>
      <c r="E43" s="307"/>
      <c r="F43" s="307"/>
      <c r="G43" s="31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</row>
    <row r="47" ht="12">
      <c r="B47" s="318"/>
    </row>
    <row r="51" spans="18:26" ht="12">
      <c r="R51" s="318"/>
      <c r="Z51" s="318"/>
    </row>
    <row r="52" spans="18:26" ht="12">
      <c r="R52" s="318"/>
      <c r="Z52" s="318"/>
    </row>
    <row r="53" ht="12">
      <c r="Z53" s="318"/>
    </row>
    <row r="54" ht="12">
      <c r="Z54" s="318"/>
    </row>
    <row r="55" ht="12">
      <c r="Z55" s="318"/>
    </row>
    <row r="56" ht="12">
      <c r="Z56" s="318"/>
    </row>
    <row r="57" ht="12">
      <c r="Z57" s="318"/>
    </row>
    <row r="58" ht="12">
      <c r="Z58" s="318"/>
    </row>
  </sheetData>
  <printOptions gridLines="1" horizontalCentered="1" verticalCentered="1"/>
  <pageMargins left="0.5" right="0.25" top="0.9840277777777777" bottom="0.9840277777777777" header="0.5118055555555555" footer="0.5118055555555555"/>
  <pageSetup horizontalDpi="300" verticalDpi="300" orientation="landscape"/>
  <headerFooter alignWithMargins="0">
    <oddHeader>&amp;CDnevnik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zoomScale="88" zoomScaleNormal="88" workbookViewId="0" topLeftCell="A1">
      <selection activeCell="A1" sqref="A1:IV65536"/>
    </sheetView>
  </sheetViews>
  <sheetFormatPr defaultColWidth="9.140625" defaultRowHeight="12.75"/>
  <cols>
    <col min="1" max="1" width="3.7109375" style="2" customWidth="1"/>
    <col min="2" max="4" width="11.28125" style="2" customWidth="1"/>
    <col min="5" max="5" width="7.57421875" style="319" customWidth="1"/>
    <col min="6" max="6" width="7.28125" style="1" customWidth="1"/>
    <col min="7" max="8" width="7.28125" style="2" customWidth="1"/>
    <col min="9" max="9" width="7.28125" style="320" customWidth="1"/>
    <col min="10" max="11" width="7.28125" style="2" customWidth="1"/>
    <col min="12" max="12" width="7.28125" style="321" customWidth="1"/>
    <col min="13" max="14" width="7.28125" style="2" customWidth="1"/>
    <col min="15" max="16" width="7.28125" style="321" customWidth="1"/>
    <col min="17" max="17" width="3.7109375" style="2" customWidth="1"/>
    <col min="18" max="16384" width="9.00390625" style="2" customWidth="1"/>
  </cols>
  <sheetData>
    <row r="1" spans="1:17" ht="12" customHeight="1">
      <c r="A1" s="322"/>
      <c r="B1" s="323" t="s">
        <v>210</v>
      </c>
      <c r="C1" s="323"/>
      <c r="D1" s="322" t="s">
        <v>211</v>
      </c>
      <c r="E1" s="324" t="s">
        <v>212</v>
      </c>
      <c r="F1" s="322" t="s">
        <v>213</v>
      </c>
      <c r="G1" s="325" t="s">
        <v>214</v>
      </c>
      <c r="H1" s="325" t="s">
        <v>215</v>
      </c>
      <c r="I1" s="322" t="s">
        <v>84</v>
      </c>
      <c r="J1" s="325" t="s">
        <v>216</v>
      </c>
      <c r="K1" s="325" t="s">
        <v>217</v>
      </c>
      <c r="L1" s="322" t="s">
        <v>85</v>
      </c>
      <c r="M1" s="326" t="s">
        <v>218</v>
      </c>
      <c r="N1" s="322"/>
      <c r="O1" s="322"/>
      <c r="P1" s="322"/>
      <c r="Q1" s="322"/>
    </row>
    <row r="2" spans="1:17" ht="11.25" customHeight="1">
      <c r="A2" s="322"/>
      <c r="B2" s="327"/>
      <c r="C2" s="327"/>
      <c r="D2" s="328">
        <f>IF(OR(A!C2=CHAR(110),A!D2=CHAR(110),A!E2=CHAR(110),A!F2=CHAR(110),A!G2=CHAR(110),A!H2=CHAR(110),A!I2=CHAR(110),A!J2=CHAR(110),A!K2=CHAR(110),A!L2=CHAR(110),A!M2=CHAR(110),A!N2=CHAR(110),A!P2=CHAR(110)),"neocenjen",IF(AND(E2&gt;=4.5,E2&lt;=5),"odličan",IF(AND(E2&lt;4.5,E2&gt;=3.5),"vrlodobar",IF(AND(E2&lt;3.5,E2&gt;=2.5),"dobar",IF(AND(E2&lt;2.5,E2&gt;=2),"dovoljan",IF(OR(F2=1,F2=2,F2=3,F2=4,F2=5,F2=6,F2=7,F2=8,F2=9,F2=10),"nedovoljan",IF(OR(E2&lt;1,E2&gt;5),"")))))))</f>
      </c>
      <c r="E2" s="329"/>
      <c r="F2" s="330"/>
      <c r="G2" s="327"/>
      <c r="H2" s="327"/>
      <c r="I2" s="327"/>
      <c r="J2" s="327"/>
      <c r="K2" s="327"/>
      <c r="L2" s="327"/>
      <c r="M2" s="330" t="s">
        <v>219</v>
      </c>
      <c r="N2" s="330" t="s">
        <v>220</v>
      </c>
      <c r="O2" s="327" t="s">
        <v>84</v>
      </c>
      <c r="P2" s="330" t="s">
        <v>221</v>
      </c>
      <c r="Q2" s="325"/>
    </row>
    <row r="3" spans="1:17" ht="11.25" customHeight="1">
      <c r="A3" s="322">
        <f>A!A3</f>
        <v>1</v>
      </c>
      <c r="B3" s="327" t="str">
        <f>IF(A!B3=0," ",A!B3)</f>
        <v>Andjelković Jelena</v>
      </c>
      <c r="C3" s="327"/>
      <c r="D3" s="328" t="str">
        <f>IF(OR(A!C3=CHAR(110),A!D3=CHAR(110),A!E3=CHAR(110),A!F3=CHAR(110),A!G3=CHAR(110),A!H3=CHAR(110),A!I3=CHAR(110),A!J3=CHAR(110),A!K3=CHAR(110),A!L3=CHAR(110),A!M3=CHAR(110),A!N3=CHAR(110),A!P3=CHAR(110)),"neocenjen",IF(AND(E3&gt;=4.5,E3&lt;=5),"odlican",IF(AND(E3&lt;4.5,E3&gt;=3.5),"vrlodobar",IF(AND(E3&lt;3.5,E3&gt;=2.5),"dobar",IF(AND(E3&lt;2.5,E3&gt;=2),"dovoljan",IF(OR(F3=1,F3=2,F3=3,F3=4,F3=5,F3=6,F3=7,F3=8,F3=9,F3=10),"nedovoljan",IF(OR(E3&lt;1,E3&gt;5),"")))))))</f>
        <v>odlican</v>
      </c>
      <c r="E3" s="331">
        <f>IF(COUNT(A!C3:A!P3)&lt;1," ",IF(F3&gt;0,"/\/",AVERAGE(A!C3:A!N3,A!P3)))</f>
        <v>5</v>
      </c>
      <c r="F3" s="332">
        <f>IF(AND(SUMIF(A!C3:A!P3,"1")=0,B3=" "),"",SUMIF(A!C3:A!P3,"1")-SUMIF(A!O3,"1"))</f>
        <v>0</v>
      </c>
      <c r="G3" s="333">
        <f>IF(AND(A!Q3=0,B3=" "),"",A!Q3)</f>
        <v>8</v>
      </c>
      <c r="H3" s="333">
        <f>IF(AND(A!R3=0,B3=" "),"",A!R3)</f>
        <v>1</v>
      </c>
      <c r="I3" s="333">
        <f aca="true" t="shared" si="0" ref="I3:I31">IF(AND(G3="",H3=""),"",SUM(G3:H3))</f>
        <v>9</v>
      </c>
      <c r="J3" s="333">
        <f>IF(AND(A!S3=0,B3=" "),"",A!S3)</f>
        <v>0</v>
      </c>
      <c r="K3" s="333">
        <f>IF(AND(A!T3=0,B3=" "),"",A!T3)</f>
        <v>0</v>
      </c>
      <c r="L3" s="333">
        <f aca="true" t="shared" si="1" ref="L3:L31">IF(AND(J3="",K3=""),"",SUM(J3:K3))</f>
        <v>0</v>
      </c>
      <c r="M3" s="333">
        <f aca="true" t="shared" si="2" ref="M3:M31">IF(AND(G3="",J3=""),"",SUM(G3+J3))</f>
        <v>8</v>
      </c>
      <c r="N3" s="333">
        <f aca="true" t="shared" si="3" ref="N3:N42">IF(AND(H3="",K3=""),"",SUM(H3+K3))</f>
        <v>1</v>
      </c>
      <c r="O3" s="333">
        <f aca="true" t="shared" si="4" ref="O3:O31">IF(AND(I3="",L3=""),"",SUM(I3+L3))</f>
        <v>9</v>
      </c>
      <c r="P3" s="332">
        <f>IF(AND(SUMIF(A!C3:A!P3,"1")=0,B3=" "),"",SUMIF(A!C3:A!P3,"1"))</f>
        <v>0</v>
      </c>
      <c r="Q3" s="325"/>
    </row>
    <row r="4" spans="1:17" ht="11.25" customHeight="1">
      <c r="A4" s="322">
        <f>A!A4</f>
        <v>2</v>
      </c>
      <c r="B4" s="327" t="str">
        <f>IF(A!B4=0," ",A!B4)</f>
        <v>Blagojević Nenad</v>
      </c>
      <c r="C4" s="327"/>
      <c r="D4" s="328" t="str">
        <f>IF(OR(A!C4=CHAR(110),A!D4=CHAR(110),A!E4=CHAR(110),A!F4=CHAR(110),A!G4=CHAR(110),A!H4=CHAR(110),A!I4=CHAR(110),A!J4=CHAR(110),A!K4=CHAR(110),A!L4=CHAR(110),A!M4=CHAR(110),A!N4=CHAR(110),A!P4=CHAR(110)),"neocenjen",IF(AND(E4&gt;=4.5,E4&lt;=5),"odlican",IF(AND(E4&lt;4.5,E4&gt;=3.5),"vrlodobar",IF(AND(E4&lt;3.5,E4&gt;=2.5),"dobar",IF(AND(E4&lt;2.5,E4&gt;=2),"dovoljan",IF(OR(F4=1,F4=2,F4=3,F4=4,F4=5,F4=6,F4=7,F4=8,F4=9,F4=10),"nedovoljan",IF(OR(E4&lt;1,E4&gt;5),"")))))))</f>
        <v>nedovoljan</v>
      </c>
      <c r="E4" s="331" t="str">
        <f>IF(COUNT(A!C4:A!P4)&lt;1," ",IF(F4&gt;0,"/\/",AVERAGE(A!C4:A!N4,A!P4)))</f>
        <v>/\/</v>
      </c>
      <c r="F4" s="332">
        <f>IF(AND(SUMIF(A!C4:A!P4,"1")=0,B4=" "),"",SUMIF(A!C4:A!P4,"1")-SUMIF(A!O4,"1"))</f>
        <v>3</v>
      </c>
      <c r="G4" s="333">
        <f>IF(AND(A!Q4=0,B4=" "),"",A!Q4)</f>
        <v>54</v>
      </c>
      <c r="H4" s="333">
        <f>IF(AND(A!R4=0,B4=" "),"",A!R4)</f>
        <v>21</v>
      </c>
      <c r="I4" s="333">
        <f t="shared" si="0"/>
        <v>75</v>
      </c>
      <c r="J4" s="333">
        <f>IF(AND(A!S4=0,B4=" "),"",A!S4)</f>
        <v>0</v>
      </c>
      <c r="K4" s="333">
        <f>IF(AND(A!T4=0,B4=" "),"",A!T4)</f>
        <v>0</v>
      </c>
      <c r="L4" s="333">
        <f t="shared" si="1"/>
        <v>0</v>
      </c>
      <c r="M4" s="333">
        <f t="shared" si="2"/>
        <v>54</v>
      </c>
      <c r="N4" s="333">
        <f t="shared" si="3"/>
        <v>21</v>
      </c>
      <c r="O4" s="333">
        <f t="shared" si="4"/>
        <v>75</v>
      </c>
      <c r="P4" s="332">
        <f>IF(AND(SUMIF(A!C4:A!P4,"1")=0,B4=" "),"",SUMIF(A!C4:A!P4,"1"))</f>
        <v>3</v>
      </c>
      <c r="Q4" s="325"/>
    </row>
    <row r="5" spans="1:17" ht="11.25" customHeight="1">
      <c r="A5" s="322">
        <f>A!A5</f>
        <v>3</v>
      </c>
      <c r="B5" s="327" t="str">
        <f>IF(A!B5=0," ",A!B5)</f>
        <v>Bosanac Ana</v>
      </c>
      <c r="C5" s="327"/>
      <c r="D5" s="328" t="str">
        <f>IF(OR(A!C5=CHAR(110),A!D5=CHAR(110),A!E5=CHAR(110),A!F5=CHAR(110),A!G5=CHAR(110),A!H5=CHAR(110),A!I5=CHAR(110),A!J5=CHAR(110),A!K5=CHAR(110),A!L5=CHAR(110),A!M5=CHAR(110),A!N5=CHAR(110),A!P5=CHAR(110)),"neocenjen",IF(AND(E5&gt;=4.5,E5&lt;=5),"odlican",IF(AND(E5&lt;4.5,E5&gt;=3.5),"vrlodobar",IF(AND(E5&lt;3.5,E5&gt;=2.5),"dobar",IF(AND(E5&lt;2.5,E5&gt;=2),"dovoljan",IF(OR(F5=1,F5=2,F5=3,F5=4,F5=5,F5=6,F5=7,F5=8,F5=9,F5=10),"nedovoljan",IF(OR(E5&lt;1,E5&gt;5),"")))))))</f>
        <v>vrlodobar</v>
      </c>
      <c r="E5" s="331">
        <f>IF(COUNT(A!C5:A!P5)&lt;1," ",IF(F5&gt;0,"/\/",AVERAGE(A!C5:A!N5,A!P5)))</f>
        <v>3.923076923076923</v>
      </c>
      <c r="F5" s="332">
        <f>IF(AND(SUMIF(A!C5:A!P5,"1")=0,B5=" "),"",SUMIF(A!C5:A!P5,"1")-SUMIF(A!O5,"1"))</f>
        <v>0</v>
      </c>
      <c r="G5" s="333">
        <f>IF(AND(A!Q5=0,B5=" "),"",A!Q5)</f>
        <v>49</v>
      </c>
      <c r="H5" s="333">
        <f>IF(AND(A!R5=0,B5=" "),"",A!R5)</f>
        <v>3</v>
      </c>
      <c r="I5" s="333">
        <f t="shared" si="0"/>
        <v>52</v>
      </c>
      <c r="J5" s="333">
        <f>IF(AND(A!S5=0,B5=" "),"",A!S5)</f>
        <v>0</v>
      </c>
      <c r="K5" s="333">
        <f>IF(AND(A!T5=0,B5=" "),"",A!T5)</f>
        <v>0</v>
      </c>
      <c r="L5" s="333">
        <f t="shared" si="1"/>
        <v>0</v>
      </c>
      <c r="M5" s="333">
        <f t="shared" si="2"/>
        <v>49</v>
      </c>
      <c r="N5" s="333">
        <f t="shared" si="3"/>
        <v>3</v>
      </c>
      <c r="O5" s="333">
        <f t="shared" si="4"/>
        <v>52</v>
      </c>
      <c r="P5" s="332">
        <f>IF(AND(SUMIF(A!C5:A!P5,"1")=0,B5=" "),"",SUMIF(A!C5:A!P5,"1"))</f>
        <v>0</v>
      </c>
      <c r="Q5" s="325"/>
    </row>
    <row r="6" spans="1:17" ht="11.25" customHeight="1">
      <c r="A6" s="322">
        <f>A!A6</f>
        <v>4</v>
      </c>
      <c r="B6" s="327" t="str">
        <f>IF(A!B6=0," ",A!B6)</f>
        <v>Brković Olivera</v>
      </c>
      <c r="C6" s="327"/>
      <c r="D6" s="328" t="str">
        <f>IF(OR(A!C6=CHAR(110),A!D6=CHAR(110),A!E6=CHAR(110),A!F6=CHAR(110),A!G6=CHAR(110),A!H6=CHAR(110),A!I6=CHAR(110),A!J6=CHAR(110),A!K6=CHAR(110),A!L6=CHAR(110),A!M6=CHAR(110),A!N6=CHAR(110),A!P6=CHAR(110)),"neocenjen",IF(AND(E6&gt;=4.5,E6&lt;=5),"odlican",IF(AND(E6&lt;4.5,E6&gt;=3.5),"vrlodobar",IF(AND(E6&lt;3.5,E6&gt;=2.5),"dobar",IF(AND(E6&lt;2.5,E6&gt;=2),"dovoljan",IF(OR(F6=1,F6=2,F6=3,F6=4,F6=5,F6=6,F6=7,F6=8,F6=9,F6=10),"nedovoljan",IF(OR(E6&lt;1,E6&gt;5),"")))))))</f>
        <v>odlican</v>
      </c>
      <c r="E6" s="331">
        <f>IF(COUNT(A!C6:A!P6)&lt;1," ",IF(F6&gt;0,"/\/",AVERAGE(A!C6:A!N6,A!P6)))</f>
        <v>5</v>
      </c>
      <c r="F6" s="332">
        <f>IF(AND(SUMIF(A!C6:A!P6,"1")=0,B6=" "),"",SUMIF(A!C6:A!P6,"1")-SUMIF(A!O6,"1"))</f>
        <v>0</v>
      </c>
      <c r="G6" s="333">
        <f>IF(AND(A!Q6=0,B6=" "),"",A!Q6)</f>
        <v>29</v>
      </c>
      <c r="H6" s="333">
        <f>IF(AND(A!R6=0,B6=" "),"",A!R6)</f>
        <v>0</v>
      </c>
      <c r="I6" s="333">
        <f t="shared" si="0"/>
        <v>29</v>
      </c>
      <c r="J6" s="333">
        <f>IF(AND(A!S6=0,B6=" "),"",A!S6)</f>
        <v>0</v>
      </c>
      <c r="K6" s="333">
        <f>IF(AND(A!T6=0,B6=" "),"",A!T6)</f>
        <v>0</v>
      </c>
      <c r="L6" s="333">
        <f t="shared" si="1"/>
        <v>0</v>
      </c>
      <c r="M6" s="333">
        <f t="shared" si="2"/>
        <v>29</v>
      </c>
      <c r="N6" s="333">
        <f t="shared" si="3"/>
        <v>0</v>
      </c>
      <c r="O6" s="333">
        <f t="shared" si="4"/>
        <v>29</v>
      </c>
      <c r="P6" s="332">
        <f>IF(AND(SUMIF(A!C6:A!P6,"1")=0,B6=" "),"",SUMIF(A!C6:A!P6,"1"))</f>
        <v>0</v>
      </c>
      <c r="Q6" s="325"/>
    </row>
    <row r="7" spans="1:17" ht="11.25" customHeight="1">
      <c r="A7" s="322">
        <f>A!A7</f>
        <v>5</v>
      </c>
      <c r="B7" s="327" t="str">
        <f>IF(A!B7=0," ",A!B7)</f>
        <v>Veselinović Nemanja</v>
      </c>
      <c r="C7" s="327"/>
      <c r="D7" s="328" t="str">
        <f>IF(OR(A!C7=CHAR(110),A!D7=CHAR(110),A!E7=CHAR(110),A!F7=CHAR(110),A!G7=CHAR(110),A!H7=CHAR(110),A!I7=CHAR(110),A!J7=CHAR(110),A!K7=CHAR(110),A!L7=CHAR(110),A!M7=CHAR(110),A!N7=CHAR(110),A!P7=CHAR(110)),"neocenjen",IF(AND(E7&gt;=4.5,E7&lt;=5),"odlican",IF(AND(E7&lt;4.5,E7&gt;=3.5),"vrlodobar",IF(AND(E7&lt;3.5,E7&gt;=2.5),"dobar",IF(AND(E7&lt;2.5,E7&gt;=2),"dovoljan",IF(OR(F7=1,F7=2,F7=3,F7=4,F7=5,F7=6,F7=7,F7=8,F7=9,F7=10),"nedovoljan",IF(OR(E7&lt;1,E7&gt;5),"")))))))</f>
        <v>nedovoljan</v>
      </c>
      <c r="E7" s="331" t="str">
        <f>IF(COUNT(A!C7:A!P7)&lt;1," ",IF(F7&gt;0,"/\/",AVERAGE(A!C7:A!N7,A!P7)))</f>
        <v>/\/</v>
      </c>
      <c r="F7" s="332">
        <f>IF(AND(SUMIF(A!C7:A!P7,"1")=0,B7=" "),"",SUMIF(A!C7:A!P7,"1")-SUMIF(A!O7,"1"))</f>
        <v>2</v>
      </c>
      <c r="G7" s="333">
        <f>IF(AND(A!Q7=0,B7=" "),"",A!Q7)</f>
        <v>25</v>
      </c>
      <c r="H7" s="333">
        <f>IF(AND(A!R7=0,B7=" "),"",A!R7)</f>
        <v>17</v>
      </c>
      <c r="I7" s="333">
        <f t="shared" si="0"/>
        <v>42</v>
      </c>
      <c r="J7" s="333">
        <f>IF(AND(A!S7=0,B7=" "),"",A!S7)</f>
        <v>0</v>
      </c>
      <c r="K7" s="333">
        <f>IF(AND(A!T7=0,B7=" "),"",A!T7)</f>
        <v>0</v>
      </c>
      <c r="L7" s="333">
        <f t="shared" si="1"/>
        <v>0</v>
      </c>
      <c r="M7" s="333">
        <f t="shared" si="2"/>
        <v>25</v>
      </c>
      <c r="N7" s="333">
        <f t="shared" si="3"/>
        <v>17</v>
      </c>
      <c r="O7" s="333">
        <f t="shared" si="4"/>
        <v>42</v>
      </c>
      <c r="P7" s="332">
        <f>IF(AND(SUMIF(A!C7:A!P7,"1")=0,B7=" "),"",SUMIF(A!C7:A!P7,"1"))</f>
        <v>2</v>
      </c>
      <c r="Q7" s="325"/>
    </row>
    <row r="8" spans="1:17" ht="11.25" customHeight="1">
      <c r="A8" s="322">
        <f>A!A8</f>
        <v>6</v>
      </c>
      <c r="B8" s="327" t="str">
        <f>IF(A!B8=0," ",A!B8)</f>
        <v>Gligorijević Grigorije</v>
      </c>
      <c r="C8" s="327"/>
      <c r="D8" s="328" t="str">
        <f>IF(OR(A!C8=CHAR(110),A!D8=CHAR(110),A!E8=CHAR(110),A!F8=CHAR(110),A!G8=CHAR(110),A!H8=CHAR(110),A!I8=CHAR(110),A!J8=CHAR(110),A!K8=CHAR(110),A!L8=CHAR(110),A!M8=CHAR(110),A!N8=CHAR(110),A!P8=CHAR(110)),"neocenjen",IF(AND(E8&gt;=4.5,E8&lt;=5),"odlican",IF(AND(E8&lt;4.5,E8&gt;=3.5),"vrlodobar",IF(AND(E8&lt;3.5,E8&gt;=2.5),"dobar",IF(AND(E8&lt;2.5,E8&gt;=2),"dovoljan",IF(OR(F8=1,F8=2,F8=3,F8=4,F8=5,F8=6,F8=7,F8=8,F8=9,F8=10),"nedovoljan",IF(OR(E8&lt;1,E8&gt;5),"")))))))</f>
        <v>nedovoljan</v>
      </c>
      <c r="E8" s="331" t="str">
        <f>IF(COUNT(A!C8:A!P8)&lt;1," ",IF(F8&gt;0,"/\/",AVERAGE(A!C8:A!N8,A!P8)))</f>
        <v>/\/</v>
      </c>
      <c r="F8" s="332">
        <f>IF(AND(SUMIF(A!C8:A!P8,"1")=0,B8=" "),"",SUMIF(A!C8:A!P8,"1")-SUMIF(A!O8,"1"))</f>
        <v>2</v>
      </c>
      <c r="G8" s="333">
        <f>IF(AND(A!Q8=0,B8=" "),"",A!Q8)</f>
        <v>19</v>
      </c>
      <c r="H8" s="333">
        <f>IF(AND(A!R8=0,B8=" "),"",A!R8)</f>
        <v>0</v>
      </c>
      <c r="I8" s="333">
        <f t="shared" si="0"/>
        <v>19</v>
      </c>
      <c r="J8" s="333">
        <f>IF(AND(A!S8=0,B8=" "),"",A!S8)</f>
        <v>0</v>
      </c>
      <c r="K8" s="333">
        <f>IF(AND(A!T8=0,B8=" "),"",A!T8)</f>
        <v>0</v>
      </c>
      <c r="L8" s="333">
        <f t="shared" si="1"/>
        <v>0</v>
      </c>
      <c r="M8" s="333">
        <f t="shared" si="2"/>
        <v>19</v>
      </c>
      <c r="N8" s="333">
        <f t="shared" si="3"/>
        <v>0</v>
      </c>
      <c r="O8" s="333">
        <f t="shared" si="4"/>
        <v>19</v>
      </c>
      <c r="P8" s="332">
        <f>IF(AND(SUMIF(A!C8:A!P8,"1")=0,B8=" "),"",SUMIF(A!C8:A!P8,"1"))</f>
        <v>2</v>
      </c>
      <c r="Q8" s="325"/>
    </row>
    <row r="9" spans="1:17" ht="11.25" customHeight="1">
      <c r="A9" s="322">
        <f>A!A9</f>
        <v>7</v>
      </c>
      <c r="B9" s="327" t="str">
        <f>IF(A!B9=0," ",A!B9)</f>
        <v>Djordjević Ivana</v>
      </c>
      <c r="C9" s="327"/>
      <c r="D9" s="328" t="str">
        <f>IF(OR(A!C9=CHAR(110),A!D9=CHAR(110),A!E9=CHAR(110),A!F9=CHAR(110),A!G9=CHAR(110),A!H9=CHAR(110),A!I9=CHAR(110),A!J9=CHAR(110),A!K9=CHAR(110),A!L9=CHAR(110),A!M9=CHAR(110),A!N9=CHAR(110),A!P9=CHAR(110)),"neocenjen",IF(AND(E9&gt;=4.5,E9&lt;=5),"odlican",IF(AND(E9&lt;4.5,E9&gt;=3.5),"vrlodobar",IF(AND(E9&lt;3.5,E9&gt;=2.5),"dobar",IF(AND(E9&lt;2.5,E9&gt;=2),"dovoljan",IF(OR(F9=1,F9=2,F9=3,F9=4,F9=5,F9=6,F9=7,F9=8,F9=9,F9=10),"nedovoljan",IF(OR(E9&lt;1,E9&gt;5),"")))))))</f>
        <v>nedovoljan</v>
      </c>
      <c r="E9" s="331" t="str">
        <f>IF(COUNT(A!C9:A!P9)&lt;1," ",IF(F9&gt;0,"/\/",AVERAGE(A!C9:A!N9,A!P9)))</f>
        <v>/\/</v>
      </c>
      <c r="F9" s="332">
        <f>IF(AND(SUMIF(A!C9:A!P9,"1")=0,B9=" "),"",SUMIF(A!C9:A!P9,"1")-SUMIF(A!O9,"1"))</f>
        <v>1</v>
      </c>
      <c r="G9" s="333">
        <f>IF(AND(A!Q9=0,B9=" "),"",A!Q9)</f>
        <v>97</v>
      </c>
      <c r="H9" s="333">
        <f>IF(AND(A!R9=0,B9=" "),"",A!R9)</f>
        <v>7</v>
      </c>
      <c r="I9" s="333">
        <f t="shared" si="0"/>
        <v>104</v>
      </c>
      <c r="J9" s="333">
        <f>IF(AND(A!S9=0,B9=" "),"",A!S9)</f>
        <v>0</v>
      </c>
      <c r="K9" s="333">
        <f>IF(AND(A!T9=0,B9=" "),"",A!T9)</f>
        <v>0</v>
      </c>
      <c r="L9" s="333">
        <f t="shared" si="1"/>
        <v>0</v>
      </c>
      <c r="M9" s="333">
        <f t="shared" si="2"/>
        <v>97</v>
      </c>
      <c r="N9" s="333">
        <f t="shared" si="3"/>
        <v>7</v>
      </c>
      <c r="O9" s="333">
        <f t="shared" si="4"/>
        <v>104</v>
      </c>
      <c r="P9" s="332">
        <f>IF(AND(SUMIF(A!C9:A!P9,"1")=0,B9=" "),"",SUMIF(A!C9:A!P9,"1"))</f>
        <v>1</v>
      </c>
      <c r="Q9" s="325"/>
    </row>
    <row r="10" spans="1:17" ht="11.25" customHeight="1">
      <c r="A10" s="322">
        <f>A!A10</f>
        <v>8</v>
      </c>
      <c r="B10" s="327" t="str">
        <f>IF(A!B10=0," ",A!B10)</f>
        <v>Ivković Jelena</v>
      </c>
      <c r="C10" s="327"/>
      <c r="D10" s="328" t="str">
        <f>IF(OR(A!C10=CHAR(110),A!D10=CHAR(110),A!E10=CHAR(110),A!F10=CHAR(110),A!G10=CHAR(110),A!H10=CHAR(110),A!I10=CHAR(110),A!J10=CHAR(110),A!K10=CHAR(110),A!L10=CHAR(110),A!M10=CHAR(110),A!N10=CHAR(110),A!P10=CHAR(110)),"neocenjen",IF(AND(E10&gt;=4.5,E10&lt;=5),"odlican",IF(AND(E10&lt;4.5,E10&gt;=3.5),"vrlodobar",IF(AND(E10&lt;3.5,E10&gt;=2.5),"dobar",IF(AND(E10&lt;2.5,E10&gt;=2),"dovoljan",IF(OR(F10=1,F10=2,F10=3,F10=4,F10=5,F10=6,F10=7,F10=8,F10=9,F10=10),"nedovoljan",IF(OR(E10&lt;1,E10&gt;5),"")))))))</f>
        <v>vrlodobar</v>
      </c>
      <c r="E10" s="331">
        <f>IF(COUNT(A!C10:A!P10)&lt;1," ",IF(F10&gt;0,"/\/",AVERAGE(A!C10:A!N10,A!P10)))</f>
        <v>4.416666666666667</v>
      </c>
      <c r="F10" s="332">
        <f>IF(AND(SUMIF(A!C10:A!P10,"1")=0,B10=" "),"",SUMIF(A!C10:A!P10,"1")-SUMIF(A!O10,"1"))</f>
        <v>0</v>
      </c>
      <c r="G10" s="333">
        <f>IF(AND(A!Q10=0,B10=" "),"",A!Q10)</f>
        <v>68</v>
      </c>
      <c r="H10" s="333">
        <f>IF(AND(A!R10=0,B10=" "),"",A!R10)</f>
        <v>4</v>
      </c>
      <c r="I10" s="333">
        <f t="shared" si="0"/>
        <v>72</v>
      </c>
      <c r="J10" s="333">
        <f>IF(AND(A!S10=0,B10=" "),"",A!S10)</f>
        <v>0</v>
      </c>
      <c r="K10" s="333">
        <f>IF(AND(A!T10=0,B10=" "),"",A!T10)</f>
        <v>0</v>
      </c>
      <c r="L10" s="333">
        <f t="shared" si="1"/>
        <v>0</v>
      </c>
      <c r="M10" s="333">
        <f t="shared" si="2"/>
        <v>68</v>
      </c>
      <c r="N10" s="333">
        <f t="shared" si="3"/>
        <v>4</v>
      </c>
      <c r="O10" s="333">
        <f t="shared" si="4"/>
        <v>72</v>
      </c>
      <c r="P10" s="332">
        <f>IF(AND(SUMIF(A!C10:A!P10,"1")=0,B10=" "),"",SUMIF(A!C10:A!P10,"1"))</f>
        <v>0</v>
      </c>
      <c r="Q10" s="325"/>
    </row>
    <row r="11" spans="1:17" ht="11.25" customHeight="1">
      <c r="A11" s="322">
        <f>A!A11</f>
        <v>9</v>
      </c>
      <c r="B11" s="327" t="str">
        <f>IF(A!B11=0," ",A!B11)</f>
        <v>Jelisavac Jovana</v>
      </c>
      <c r="C11" s="327"/>
      <c r="D11" s="328" t="str">
        <f>IF(OR(A!C11=CHAR(110),A!D11=CHAR(110),A!E11=CHAR(110),A!F11=CHAR(110),A!G11=CHAR(110),A!H11=CHAR(110),A!I11=CHAR(110),A!J11=CHAR(110),A!K11=CHAR(110),A!L11=CHAR(110),A!M11=CHAR(110),A!N11=CHAR(110),A!P11=CHAR(110)),"neocenjen",IF(AND(E11&gt;=4.5,E11&lt;=5),"odlican",IF(AND(E11&lt;4.5,E11&gt;=3.5),"vrlodobar",IF(AND(E11&lt;3.5,E11&gt;=2.5),"dobar",IF(AND(E11&lt;2.5,E11&gt;=2),"dovoljan",IF(OR(F11=1,F11=2,F11=3,F11=4,F11=5,F11=6,F11=7,F11=8,F11=9,F11=10),"nedovoljan",IF(OR(E11&lt;1,E11&gt;5),"")))))))</f>
        <v>odlican</v>
      </c>
      <c r="E11" s="331">
        <f>IF(COUNT(A!C11:A!P11)&lt;1," ",IF(F11&gt;0,"/\/",AVERAGE(A!C11:A!N11,A!P11)))</f>
        <v>5</v>
      </c>
      <c r="F11" s="332">
        <f>IF(AND(SUMIF(A!C11:A!P11,"1")=0,B11=" "),"",SUMIF(A!C11:A!P11,"1")-SUMIF(A!O11,"1"))</f>
        <v>0</v>
      </c>
      <c r="G11" s="333">
        <f>IF(AND(A!Q11=0,B11=" "),"",A!Q11)</f>
        <v>60</v>
      </c>
      <c r="H11" s="333">
        <f>IF(AND(A!R11=0,B11=" "),"",A!R11)</f>
        <v>1</v>
      </c>
      <c r="I11" s="333">
        <f t="shared" si="0"/>
        <v>61</v>
      </c>
      <c r="J11" s="333">
        <f>IF(AND(A!S11=0,B11=" "),"",A!S11)</f>
        <v>0</v>
      </c>
      <c r="K11" s="333">
        <f>IF(AND(A!T11=0,B11=" "),"",A!T11)</f>
        <v>0</v>
      </c>
      <c r="L11" s="333">
        <f t="shared" si="1"/>
        <v>0</v>
      </c>
      <c r="M11" s="333">
        <f t="shared" si="2"/>
        <v>60</v>
      </c>
      <c r="N11" s="333">
        <f t="shared" si="3"/>
        <v>1</v>
      </c>
      <c r="O11" s="333">
        <f t="shared" si="4"/>
        <v>61</v>
      </c>
      <c r="P11" s="332">
        <f>IF(AND(SUMIF(A!C11:A!P11,"1")=0,B11=" "),"",SUMIF(A!C11:A!P11,"1"))</f>
        <v>0</v>
      </c>
      <c r="Q11" s="325"/>
    </row>
    <row r="12" spans="1:17" ht="11.25" customHeight="1">
      <c r="A12" s="322">
        <f>A!A12</f>
        <v>10</v>
      </c>
      <c r="B12" s="327" t="str">
        <f>IF(A!B12=0," ",A!B12)</f>
        <v>Knežić Filip</v>
      </c>
      <c r="C12" s="327"/>
      <c r="D12" s="328" t="str">
        <f>IF(OR(A!C12=CHAR(110),A!D12=CHAR(110),A!E12=CHAR(110),A!F12=CHAR(110),A!G12=CHAR(110),A!H12=CHAR(110),A!I12=CHAR(110),A!J12=CHAR(110),A!K12=CHAR(110),A!L12=CHAR(110),A!M12=CHAR(110),A!N12=CHAR(110),A!P12=CHAR(110)),"neocenjen",IF(AND(E12&gt;=4.5,E12&lt;=5),"odlican",IF(AND(E12&lt;4.5,E12&gt;=3.5),"vrlodobar",IF(AND(E12&lt;3.5,E12&gt;=2.5),"dobar",IF(AND(E12&lt;2.5,E12&gt;=2),"dovoljan",IF(OR(F12=1,F12=2,F12=3,F12=4,F12=5,F12=6,F12=7,F12=8,F12=9,F12=10),"nedovoljan",IF(OR(E12&lt;1,E12&gt;5),"")))))))</f>
        <v>vrlodobar</v>
      </c>
      <c r="E12" s="331">
        <f>IF(COUNT(A!C12:A!P12)&lt;1," ",IF(F12&gt;0,"/\/",AVERAGE(A!C12:A!N12,A!P12)))</f>
        <v>3.6153846153846154</v>
      </c>
      <c r="F12" s="332">
        <f>IF(AND(SUMIF(A!C12:A!P12,"1")=0,B12=" "),"",SUMIF(A!C12:A!P12,"1")-SUMIF(A!O12,"1"))</f>
        <v>0</v>
      </c>
      <c r="G12" s="333">
        <f>IF(AND(A!Q12=0,B12=" "),"",A!Q12)</f>
        <v>55</v>
      </c>
      <c r="H12" s="333">
        <f>IF(AND(A!R12=0,B12=" "),"",A!R12)</f>
        <v>0</v>
      </c>
      <c r="I12" s="333">
        <f t="shared" si="0"/>
        <v>55</v>
      </c>
      <c r="J12" s="333">
        <f>IF(AND(A!S12=0,B12=" "),"",A!S12)</f>
        <v>0</v>
      </c>
      <c r="K12" s="333">
        <f>IF(AND(A!T12=0,B12=" "),"",A!T12)</f>
        <v>0</v>
      </c>
      <c r="L12" s="333">
        <f t="shared" si="1"/>
        <v>0</v>
      </c>
      <c r="M12" s="333">
        <f t="shared" si="2"/>
        <v>55</v>
      </c>
      <c r="N12" s="333">
        <f t="shared" si="3"/>
        <v>0</v>
      </c>
      <c r="O12" s="333">
        <f t="shared" si="4"/>
        <v>55</v>
      </c>
      <c r="P12" s="332">
        <f>IF(AND(SUMIF(A!C12:A!P12,"1")=0,B12=" "),"",SUMIF(A!C12:A!P12,"1"))</f>
        <v>0</v>
      </c>
      <c r="Q12" s="325"/>
    </row>
    <row r="13" spans="1:17" ht="11.25" customHeight="1">
      <c r="A13" s="322">
        <f>A!A13</f>
        <v>11</v>
      </c>
      <c r="B13" s="327" t="str">
        <f>IF(A!B13=0," ",A!B13)</f>
        <v>Lazarević Milena</v>
      </c>
      <c r="C13" s="327"/>
      <c r="D13" s="328" t="str">
        <f>IF(OR(A!C13=CHAR(110),A!D13=CHAR(110),A!E13=CHAR(110),A!F13=CHAR(110),A!G13=CHAR(110),A!H13=CHAR(110),A!I13=CHAR(110),A!J13=CHAR(110),A!K13=CHAR(110),A!L13=CHAR(110),A!M13=CHAR(110),A!N13=CHAR(110),A!P13=CHAR(110)),"neocenjen",IF(AND(E13&gt;=4.5,E13&lt;=5),"odlican",IF(AND(E13&lt;4.5,E13&gt;=3.5),"vrlodobar",IF(AND(E13&lt;3.5,E13&gt;=2.5),"dobar",IF(AND(E13&lt;2.5,E13&gt;=2),"dovoljan",IF(OR(F13=1,F13=2,F13=3,F13=4,F13=5,F13=6,F13=7,F13=8,F13=9,F13=10),"nedovoljan",IF(OR(E13&lt;1,E13&gt;5),"")))))))</f>
        <v>nedovoljan</v>
      </c>
      <c r="E13" s="331" t="str">
        <f>IF(COUNT(A!C13:A!P13)&lt;1," ",IF(F13&gt;0,"/\/",AVERAGE(A!C13:A!N13,A!P13)))</f>
        <v>/\/</v>
      </c>
      <c r="F13" s="332">
        <f>IF(AND(SUMIF(A!C13:A!P13,"1")=0,B13=" "),"",SUMIF(A!C13:A!P13,"1")-SUMIF(A!O13,"1"))</f>
        <v>2</v>
      </c>
      <c r="G13" s="333">
        <f>IF(AND(A!Q13=0,B13=" "),"",A!Q13)</f>
        <v>30</v>
      </c>
      <c r="H13" s="333">
        <f>IF(AND(A!R13=0,B13=" "),"",A!R13)</f>
        <v>13</v>
      </c>
      <c r="I13" s="333">
        <f t="shared" si="0"/>
        <v>43</v>
      </c>
      <c r="J13" s="333">
        <f>IF(AND(A!S13=0,B13=" "),"",A!S13)</f>
        <v>0</v>
      </c>
      <c r="K13" s="333">
        <f>IF(AND(A!T13=0,B13=" "),"",A!T13)</f>
        <v>0</v>
      </c>
      <c r="L13" s="333">
        <f t="shared" si="1"/>
        <v>0</v>
      </c>
      <c r="M13" s="333">
        <f t="shared" si="2"/>
        <v>30</v>
      </c>
      <c r="N13" s="333">
        <f t="shared" si="3"/>
        <v>13</v>
      </c>
      <c r="O13" s="333">
        <f t="shared" si="4"/>
        <v>43</v>
      </c>
      <c r="P13" s="332">
        <f>IF(AND(SUMIF(A!C13:A!P13,"1")=0,B13=" "),"",SUMIF(A!C13:A!P13,"1"))</f>
        <v>2</v>
      </c>
      <c r="Q13" s="325"/>
    </row>
    <row r="14" spans="1:17" ht="11.25" customHeight="1">
      <c r="A14" s="322">
        <f>A!A14</f>
        <v>12</v>
      </c>
      <c r="B14" s="327" t="str">
        <f>IF(A!B14=0," ",A!B14)</f>
        <v>Masleša Marija</v>
      </c>
      <c r="C14" s="327"/>
      <c r="D14" s="328" t="str">
        <f>IF(OR(A!C14=CHAR(110),A!D14=CHAR(110),A!E14=CHAR(110),A!F14=CHAR(110),A!G14=CHAR(110),A!H14=CHAR(110),A!I14=CHAR(110),A!J14=CHAR(110),A!K14=CHAR(110),A!L14=CHAR(110),A!M14=CHAR(110),A!N14=CHAR(110),A!P14=CHAR(110)),"neocenjen",IF(AND(E14&gt;=4.5,E14&lt;=5),"odlican",IF(AND(E14&lt;4.5,E14&gt;=3.5),"vrlodobar",IF(AND(E14&lt;3.5,E14&gt;=2.5),"dobar",IF(AND(E14&lt;2.5,E14&gt;=2),"dovoljan",IF(OR(F14=1,F14=2,F14=3,F14=4,F14=5,F14=6,F14=7,F14=8,F14=9,F14=10),"nedovoljan",IF(OR(E14&lt;1,E14&gt;5),"")))))))</f>
        <v>odlican</v>
      </c>
      <c r="E14" s="331">
        <f>IF(COUNT(A!C14:A!P14)&lt;1," ",IF(F14&gt;0,"/\/",AVERAGE(A!C14:A!N14,A!P14)))</f>
        <v>4.923076923076923</v>
      </c>
      <c r="F14" s="332">
        <f>IF(AND(SUMIF(A!C14:A!P14,"1")=0,B14=" "),"",SUMIF(A!C14:A!P14,"1")-SUMIF(A!O14,"1"))</f>
        <v>0</v>
      </c>
      <c r="G14" s="333">
        <f>IF(AND(A!Q14=0,B14=" "),"",A!Q14)</f>
        <v>50</v>
      </c>
      <c r="H14" s="333">
        <f>IF(AND(A!R14=0,B14=" "),"",A!R14)</f>
        <v>4</v>
      </c>
      <c r="I14" s="333">
        <f t="shared" si="0"/>
        <v>54</v>
      </c>
      <c r="J14" s="333">
        <f>IF(AND(A!S14=0,B14=" "),"",A!S14)</f>
        <v>0</v>
      </c>
      <c r="K14" s="333">
        <f>IF(AND(A!T14=0,B14=" "),"",A!T14)</f>
        <v>0</v>
      </c>
      <c r="L14" s="333">
        <f t="shared" si="1"/>
        <v>0</v>
      </c>
      <c r="M14" s="333">
        <f t="shared" si="2"/>
        <v>50</v>
      </c>
      <c r="N14" s="333">
        <f t="shared" si="3"/>
        <v>4</v>
      </c>
      <c r="O14" s="333">
        <f t="shared" si="4"/>
        <v>54</v>
      </c>
      <c r="P14" s="332">
        <f>IF(AND(SUMIF(A!C14:A!P14,"1")=0,B14=" "),"",SUMIF(A!C14:A!P14,"1"))</f>
        <v>0</v>
      </c>
      <c r="Q14" s="325"/>
    </row>
    <row r="15" spans="1:17" ht="11.25" customHeight="1">
      <c r="A15" s="322">
        <f>A!A15</f>
        <v>13</v>
      </c>
      <c r="B15" s="327" t="str">
        <f>IF(A!B15=0," ",A!B15)</f>
        <v>Mijajlović Marko</v>
      </c>
      <c r="C15" s="327"/>
      <c r="D15" s="328" t="str">
        <f>IF(OR(A!C15=CHAR(110),A!D15=CHAR(110),A!E15=CHAR(110),A!F15=CHAR(110),A!G15=CHAR(110),A!H15=CHAR(110),A!I15=CHAR(110),A!J15=CHAR(110),A!K15=CHAR(110),A!L15=CHAR(110),A!M15=CHAR(110),A!N15=CHAR(110),A!P15=CHAR(110)),"neocenjen",IF(AND(E15&gt;=4.5,E15&lt;=5),"odlican",IF(AND(E15&lt;4.5,E15&gt;=3.5),"vrlodobar",IF(AND(E15&lt;3.5,E15&gt;=2.5),"dobar",IF(AND(E15&lt;2.5,E15&gt;=2),"dovoljan",IF(OR(F15=1,F15=2,F15=3,F15=4,F15=5,F15=6,F15=7,F15=8,F15=9,F15=10),"nedovoljan",IF(OR(E15&lt;1,E15&gt;5),"")))))))</f>
        <v>vrlodobar</v>
      </c>
      <c r="E15" s="331">
        <f>IF(COUNT(A!C15:A!P15)&lt;1," ",IF(F15&gt;0,"/\/",AVERAGE(A!C15:A!N15,A!P15)))</f>
        <v>4.333333333333333</v>
      </c>
      <c r="F15" s="332">
        <f>IF(AND(SUMIF(A!C15:A!P15,"1")=0,B15=" "),"",SUMIF(A!C15:A!P15,"1")-SUMIF(A!O15,"1"))</f>
        <v>0</v>
      </c>
      <c r="G15" s="333">
        <f>IF(AND(A!Q15=0,B15=" "),"",A!Q15)</f>
        <v>27</v>
      </c>
      <c r="H15" s="333">
        <f>IF(AND(A!R15=0,B15=" "),"",A!R15)</f>
        <v>0</v>
      </c>
      <c r="I15" s="333">
        <f t="shared" si="0"/>
        <v>27</v>
      </c>
      <c r="J15" s="333">
        <f>IF(AND(A!S15=0,B15=" "),"",A!S15)</f>
        <v>0</v>
      </c>
      <c r="K15" s="333">
        <f>IF(AND(A!T15=0,B15=" "),"",A!T15)</f>
        <v>0</v>
      </c>
      <c r="L15" s="333">
        <f t="shared" si="1"/>
        <v>0</v>
      </c>
      <c r="M15" s="333">
        <f t="shared" si="2"/>
        <v>27</v>
      </c>
      <c r="N15" s="333">
        <f t="shared" si="3"/>
        <v>0</v>
      </c>
      <c r="O15" s="333">
        <f t="shared" si="4"/>
        <v>27</v>
      </c>
      <c r="P15" s="332">
        <f>IF(AND(SUMIF(A!C15:A!P15,"1")=0,B15=" "),"",SUMIF(A!C15:A!P15,"1"))</f>
        <v>0</v>
      </c>
      <c r="Q15" s="325"/>
    </row>
    <row r="16" spans="1:17" ht="11.25" customHeight="1">
      <c r="A16" s="322">
        <f>A!A16</f>
        <v>14</v>
      </c>
      <c r="B16" s="327" t="str">
        <f>IF(A!B16=0," ",A!B16)</f>
        <v>Milanović Sara</v>
      </c>
      <c r="C16" s="327"/>
      <c r="D16" s="328" t="str">
        <f>IF(OR(A!C16=CHAR(110),A!D16=CHAR(110),A!E16=CHAR(110),A!F16=CHAR(110),A!G16=CHAR(110),A!H16=CHAR(110),A!I16=CHAR(110),A!J16=CHAR(110),A!K16=CHAR(110),A!L16=CHAR(110),A!M16=CHAR(110),A!N16=CHAR(110),A!P16=CHAR(110)),"neocenjen",IF(AND(E16&gt;=4.5,E16&lt;=5),"odlican",IF(AND(E16&lt;4.5,E16&gt;=3.5),"vrlodobar",IF(AND(E16&lt;3.5,E16&gt;=2.5),"dobar",IF(AND(E16&lt;2.5,E16&gt;=2),"dovoljan",IF(OR(F16=1,F16=2,F16=3,F16=4,F16=5,F16=6,F16=7,F16=8,F16=9,F16=10),"nedovoljan",IF(OR(E16&lt;1,E16&gt;5),"")))))))</f>
        <v>vrlodobar</v>
      </c>
      <c r="E16" s="331">
        <f>IF(COUNT(A!C16:A!P16)&lt;1," ",IF(F16&gt;0,"/\/",AVERAGE(A!C16:A!N16,A!P16)))</f>
        <v>4.333333333333333</v>
      </c>
      <c r="F16" s="332">
        <f>IF(AND(SUMIF(A!C16:A!P16,"1")=0,B16=" "),"",SUMIF(A!C16:A!P16,"1")-SUMIF(A!O16,"1"))</f>
        <v>0</v>
      </c>
      <c r="G16" s="333">
        <f>IF(AND(A!Q16=0,B16=" "),"",A!Q16)</f>
        <v>50</v>
      </c>
      <c r="H16" s="333">
        <f>IF(AND(A!R16=0,B16=" "),"",A!R16)</f>
        <v>5</v>
      </c>
      <c r="I16" s="333">
        <f t="shared" si="0"/>
        <v>55</v>
      </c>
      <c r="J16" s="333">
        <f>IF(AND(A!S16=0,B16=" "),"",A!S16)</f>
        <v>0</v>
      </c>
      <c r="K16" s="333">
        <f>IF(AND(A!T16=0,B16=" "),"",A!T16)</f>
        <v>0</v>
      </c>
      <c r="L16" s="333">
        <f t="shared" si="1"/>
        <v>0</v>
      </c>
      <c r="M16" s="333">
        <f t="shared" si="2"/>
        <v>50</v>
      </c>
      <c r="N16" s="333">
        <f t="shared" si="3"/>
        <v>5</v>
      </c>
      <c r="O16" s="333">
        <f t="shared" si="4"/>
        <v>55</v>
      </c>
      <c r="P16" s="332">
        <f>IF(AND(SUMIF(A!C16:A!P16,"1")=0,B16=" "),"",SUMIF(A!C16:A!P16,"1"))</f>
        <v>0</v>
      </c>
      <c r="Q16" s="325"/>
    </row>
    <row r="17" spans="1:17" ht="11.25" customHeight="1">
      <c r="A17" s="322">
        <f>A!A17</f>
        <v>15</v>
      </c>
      <c r="B17" s="327" t="str">
        <f>IF(A!B17=0," ",A!B17)</f>
        <v>Milošević Stefan</v>
      </c>
      <c r="C17" s="327"/>
      <c r="D17" s="328" t="str">
        <f>IF(OR(A!C17=CHAR(110),A!D17=CHAR(110),A!E17=CHAR(110),A!F17=CHAR(110),A!G17=CHAR(110),A!H17=CHAR(110),A!I17=CHAR(110),A!J17=CHAR(110),A!K17=CHAR(110),A!L17=CHAR(110),A!M17=CHAR(110),A!N17=CHAR(110),A!P17=CHAR(110)),"neocenjen",IF(AND(E17&gt;=4.5,E17&lt;=5),"odlican",IF(AND(E17&lt;4.5,E17&gt;=3.5),"vrlodobar",IF(AND(E17&lt;3.5,E17&gt;=2.5),"dobar",IF(AND(E17&lt;2.5,E17&gt;=2),"dovoljan",IF(OR(F17=1,F17=2,F17=3,F17=4,F17=5,F17=6,F17=7,F17=8,F17=9,F17=10),"nedovoljan",IF(OR(E17&lt;1,E17&gt;5),"")))))))</f>
        <v>nedovoljan</v>
      </c>
      <c r="E17" s="331" t="str">
        <f>IF(COUNT(A!C17:A!P17)&lt;1," ",IF(F17&gt;0,"/\/",AVERAGE(A!C17:A!N17,A!P17)))</f>
        <v>/\/</v>
      </c>
      <c r="F17" s="332">
        <f>IF(AND(SUMIF(A!C17:A!P17,"1")=0,B17=" "),"",SUMIF(A!C17:A!P17,"1")-SUMIF(A!O17,"1"))</f>
        <v>3</v>
      </c>
      <c r="G17" s="333">
        <f>IF(AND(A!Q17=0,B17=" "),"",A!Q17)</f>
        <v>62</v>
      </c>
      <c r="H17" s="333">
        <f>IF(AND(A!R17=0,B17=" "),"",A!R17)</f>
        <v>8</v>
      </c>
      <c r="I17" s="333">
        <f t="shared" si="0"/>
        <v>70</v>
      </c>
      <c r="J17" s="333">
        <f>IF(AND(A!S17=0,B17=" "),"",A!S17)</f>
        <v>0</v>
      </c>
      <c r="K17" s="333">
        <f>IF(AND(A!T17=0,B17=" "),"",A!T17)</f>
        <v>0</v>
      </c>
      <c r="L17" s="333">
        <f t="shared" si="1"/>
        <v>0</v>
      </c>
      <c r="M17" s="333">
        <f t="shared" si="2"/>
        <v>62</v>
      </c>
      <c r="N17" s="333">
        <f t="shared" si="3"/>
        <v>8</v>
      </c>
      <c r="O17" s="333">
        <f t="shared" si="4"/>
        <v>70</v>
      </c>
      <c r="P17" s="332">
        <f>IF(AND(SUMIF(A!C17:A!P17,"1")=0,B17=" "),"",SUMIF(A!C17:A!P17,"1"))</f>
        <v>3</v>
      </c>
      <c r="Q17" s="325"/>
    </row>
    <row r="18" spans="1:17" ht="11.25" customHeight="1">
      <c r="A18" s="322">
        <f>A!A18</f>
        <v>16</v>
      </c>
      <c r="B18" s="327" t="str">
        <f>IF(A!B18=0," ",A!B18)</f>
        <v>Novaković Milena</v>
      </c>
      <c r="C18" s="327"/>
      <c r="D18" s="328" t="str">
        <f>IF(OR(A!C18=CHAR(110),A!D18=CHAR(110),A!E18=CHAR(110),A!F18=CHAR(110),A!G18=CHAR(110),A!H18=CHAR(110),A!I18=CHAR(110),A!J18=CHAR(110),A!K18=CHAR(110),A!L18=CHAR(110),A!M18=CHAR(110),A!N18=CHAR(110),A!P18=CHAR(110)),"neocenjen",IF(AND(E18&gt;=4.5,E18&lt;=5),"odlican",IF(AND(E18&lt;4.5,E18&gt;=3.5),"vrlodobar",IF(AND(E18&lt;3.5,E18&gt;=2.5),"dobar",IF(AND(E18&lt;2.5,E18&gt;=2),"dovoljan",IF(OR(F18=1,F18=2,F18=3,F18=4,F18=5,F18=6,F18=7,F18=8,F18=9,F18=10),"nedovoljan",IF(OR(E18&lt;1,E18&gt;5),"")))))))</f>
        <v>odlican</v>
      </c>
      <c r="E18" s="331">
        <f>IF(COUNT(A!C18:A!P18)&lt;1," ",IF(F18&gt;0,"/\/",AVERAGE(A!C18:A!N18,A!P18)))</f>
        <v>4.846153846153846</v>
      </c>
      <c r="F18" s="332">
        <f>IF(AND(SUMIF(A!C18:A!P18,"1")=0,B18=" "),"",SUMIF(A!C18:A!P18,"1")-SUMIF(A!O18,"1"))</f>
        <v>0</v>
      </c>
      <c r="G18" s="333">
        <f>IF(AND(A!Q18=0,B18=" "),"",A!Q18)</f>
        <v>59</v>
      </c>
      <c r="H18" s="333">
        <f>IF(AND(A!R18=0,B18=" "),"",A!R18)</f>
        <v>0</v>
      </c>
      <c r="I18" s="333">
        <f t="shared" si="0"/>
        <v>59</v>
      </c>
      <c r="J18" s="333">
        <f>IF(AND(A!S18=0,B18=" "),"",A!S18)</f>
        <v>0</v>
      </c>
      <c r="K18" s="333">
        <f>IF(AND(A!T18=0,B18=" "),"",A!T18)</f>
        <v>0</v>
      </c>
      <c r="L18" s="333">
        <f t="shared" si="1"/>
        <v>0</v>
      </c>
      <c r="M18" s="333">
        <f t="shared" si="2"/>
        <v>59</v>
      </c>
      <c r="N18" s="333">
        <f t="shared" si="3"/>
        <v>0</v>
      </c>
      <c r="O18" s="333">
        <f t="shared" si="4"/>
        <v>59</v>
      </c>
      <c r="P18" s="332">
        <f>IF(AND(SUMIF(A!C18:A!P18,"1")=0,B18=" "),"",SUMIF(A!C18:A!P18,"1"))</f>
        <v>0</v>
      </c>
      <c r="Q18" s="325"/>
    </row>
    <row r="19" spans="1:17" ht="11.25" customHeight="1">
      <c r="A19" s="322">
        <f>A!A19</f>
        <v>17</v>
      </c>
      <c r="B19" s="327" t="str">
        <f>IF(A!B19=0," ",A!B19)</f>
        <v>Orbanović Gradimir</v>
      </c>
      <c r="C19" s="327"/>
      <c r="D19" s="328" t="str">
        <f>IF(OR(A!C19=CHAR(110),A!D19=CHAR(110),A!E19=CHAR(110),A!F19=CHAR(110),A!G19=CHAR(110),A!H19=CHAR(110),A!I19=CHAR(110),A!J19=CHAR(110),A!K19=CHAR(110),A!L19=CHAR(110),A!M19=CHAR(110),A!N19=CHAR(110),A!P19=CHAR(110)),"neocenjen",IF(AND(E19&gt;=4.5,E19&lt;=5),"odlican",IF(AND(E19&lt;4.5,E19&gt;=3.5),"vrlodobar",IF(AND(E19&lt;3.5,E19&gt;=2.5),"dobar",IF(AND(E19&lt;2.5,E19&gt;=2),"dovoljan",IF(OR(F19=1,F19=2,F19=3,F19=4,F19=5,F19=6,F19=7,F19=8,F19=9,F19=10),"nedovoljan",IF(OR(E19&lt;1,E19&gt;5),"")))))))</f>
        <v>vrlodobar</v>
      </c>
      <c r="E19" s="331">
        <f>IF(COUNT(A!C19:A!P19)&lt;1," ",IF(F19&gt;0,"/\/",AVERAGE(A!C19:A!N19,A!P19)))</f>
        <v>4.166666666666667</v>
      </c>
      <c r="F19" s="332">
        <f>IF(AND(SUMIF(A!C19:A!P19,"1")=0,B19=" "),"",SUMIF(A!C19:A!P19,"1")-SUMIF(A!O19,"1"))</f>
        <v>0</v>
      </c>
      <c r="G19" s="333">
        <f>IF(AND(A!Q19=0,B19=" "),"",A!Q19)</f>
        <v>54</v>
      </c>
      <c r="H19" s="333">
        <f>IF(AND(A!R19=0,B19=" "),"",A!R19)</f>
        <v>0</v>
      </c>
      <c r="I19" s="333">
        <f t="shared" si="0"/>
        <v>54</v>
      </c>
      <c r="J19" s="333">
        <f>IF(AND(A!S19=0,B19=" "),"",A!S19)</f>
        <v>0</v>
      </c>
      <c r="K19" s="333">
        <f>IF(AND(A!T19=0,B19=" "),"",A!T19)</f>
        <v>0</v>
      </c>
      <c r="L19" s="333">
        <f t="shared" si="1"/>
        <v>0</v>
      </c>
      <c r="M19" s="333">
        <f t="shared" si="2"/>
        <v>54</v>
      </c>
      <c r="N19" s="333">
        <f t="shared" si="3"/>
        <v>0</v>
      </c>
      <c r="O19" s="333">
        <f t="shared" si="4"/>
        <v>54</v>
      </c>
      <c r="P19" s="332">
        <f>IF(AND(SUMIF(A!C19:A!P19,"1")=0,B19=" "),"",SUMIF(A!C19:A!P19,"1"))</f>
        <v>0</v>
      </c>
      <c r="Q19" s="325"/>
    </row>
    <row r="20" spans="1:17" ht="11.25" customHeight="1">
      <c r="A20" s="322">
        <f>A!A20</f>
        <v>18</v>
      </c>
      <c r="B20" s="327" t="str">
        <f>IF(A!B20=0," ",A!B20)</f>
        <v>Poček Sonja</v>
      </c>
      <c r="C20" s="327"/>
      <c r="D20" s="328" t="str">
        <f>IF(OR(A!C20=CHAR(110),A!D20=CHAR(110),A!E20=CHAR(110),A!F20=CHAR(110),A!G20=CHAR(110),A!H20=CHAR(110),A!I20=CHAR(110),A!J20=CHAR(110),A!K20=CHAR(110),A!L20=CHAR(110),A!M20=CHAR(110),A!N20=CHAR(110),A!P20=CHAR(110)),"neocenjen",IF(AND(E20&gt;=4.5,E20&lt;=5),"odlican",IF(AND(E20&lt;4.5,E20&gt;=3.5),"vrlodobar",IF(AND(E20&lt;3.5,E20&gt;=2.5),"dobar",IF(AND(E20&lt;2.5,E20&gt;=2),"dovoljan",IF(OR(F20=1,F20=2,F20=3,F20=4,F20=5,F20=6,F20=7,F20=8,F20=9,F20=10),"nedovoljan",IF(OR(E20&lt;1,E20&gt;5),"")))))))</f>
        <v>odlican</v>
      </c>
      <c r="E20" s="331">
        <f>IF(COUNT(A!C20:A!P20)&lt;1," ",IF(F20&gt;0,"/\/",AVERAGE(A!C20:A!N20,A!P20)))</f>
        <v>5</v>
      </c>
      <c r="F20" s="332">
        <f>IF(AND(SUMIF(A!C20:A!P20,"1")=0,B20=" "),"",SUMIF(A!C20:A!P20,"1")-SUMIF(A!O20,"1"))</f>
        <v>0</v>
      </c>
      <c r="G20" s="333">
        <f>IF(AND(A!Q20=0,B20=" "),"",A!Q20)</f>
        <v>12</v>
      </c>
      <c r="H20" s="333">
        <f>IF(AND(A!R20=0,B20=" "),"",A!R20)</f>
        <v>0</v>
      </c>
      <c r="I20" s="333">
        <f t="shared" si="0"/>
        <v>12</v>
      </c>
      <c r="J20" s="333">
        <f>IF(AND(A!S20=0,B20=" "),"",A!S20)</f>
        <v>0</v>
      </c>
      <c r="K20" s="333">
        <f>IF(AND(A!T20=0,B20=" "),"",A!T20)</f>
        <v>0</v>
      </c>
      <c r="L20" s="333">
        <f t="shared" si="1"/>
        <v>0</v>
      </c>
      <c r="M20" s="333">
        <f t="shared" si="2"/>
        <v>12</v>
      </c>
      <c r="N20" s="333">
        <f t="shared" si="3"/>
        <v>0</v>
      </c>
      <c r="O20" s="333">
        <f t="shared" si="4"/>
        <v>12</v>
      </c>
      <c r="P20" s="332">
        <f>IF(AND(SUMIF(A!C20:A!P20,"1")=0,B20=" "),"",SUMIF(A!C20:A!P20,"1"))</f>
        <v>0</v>
      </c>
      <c r="Q20" s="325"/>
    </row>
    <row r="21" spans="1:17" ht="11.25" customHeight="1">
      <c r="A21" s="322">
        <f>A!A21</f>
        <v>19</v>
      </c>
      <c r="B21" s="327" t="str">
        <f>IF(A!B21=0," ",A!B21)</f>
        <v>Rozman Marko</v>
      </c>
      <c r="C21" s="327"/>
      <c r="D21" s="328" t="str">
        <f>IF(OR(A!C21=CHAR(110),A!D21=CHAR(110),A!E21=CHAR(110),A!F21=CHAR(110),A!G21=CHAR(110),A!H21=CHAR(110),A!I21=CHAR(110),A!J21=CHAR(110),A!K21=CHAR(110),A!L21=CHAR(110),A!M21=CHAR(110),A!N21=CHAR(110),A!P21=CHAR(110)),"neocenjen",IF(AND(E21&gt;=4.5,E21&lt;=5),"odlican",IF(AND(E21&lt;4.5,E21&gt;=3.5),"vrlodobar",IF(AND(E21&lt;3.5,E21&gt;=2.5),"dobar",IF(AND(E21&lt;2.5,E21&gt;=2),"dovoljan",IF(OR(F21=1,F21=2,F21=3,F21=4,F21=5,F21=6,F21=7,F21=8,F21=9,F21=10),"nedovoljan",IF(OR(E21&lt;1,E21&gt;5),"")))))))</f>
        <v>nedovoljan</v>
      </c>
      <c r="E21" s="331" t="str">
        <f>IF(COUNT(A!C21:A!P21)&lt;1," ",IF(F21&gt;0,"/\/",AVERAGE(A!C21:A!N21,A!P21)))</f>
        <v>/\/</v>
      </c>
      <c r="F21" s="332">
        <f>IF(AND(SUMIF(A!C21:A!P21,"1")=0,B21=" "),"",SUMIF(A!C21:A!P21,"1")-SUMIF(A!O21,"1"))</f>
        <v>2</v>
      </c>
      <c r="G21" s="333">
        <f>IF(AND(A!Q21=0,B21=" "),"",A!Q21)</f>
        <v>2</v>
      </c>
      <c r="H21" s="333">
        <f>IF(AND(A!R21=0,B21=" "),"",A!R21)</f>
        <v>10</v>
      </c>
      <c r="I21" s="333">
        <f t="shared" si="0"/>
        <v>12</v>
      </c>
      <c r="J21" s="333">
        <f>IF(AND(A!S21=0,B21=" "),"",A!S21)</f>
        <v>0</v>
      </c>
      <c r="K21" s="333">
        <f>IF(AND(A!T21=0,B21=" "),"",A!T21)</f>
        <v>0</v>
      </c>
      <c r="L21" s="333">
        <f t="shared" si="1"/>
        <v>0</v>
      </c>
      <c r="M21" s="333">
        <f t="shared" si="2"/>
        <v>2</v>
      </c>
      <c r="N21" s="333">
        <f t="shared" si="3"/>
        <v>10</v>
      </c>
      <c r="O21" s="333">
        <f t="shared" si="4"/>
        <v>12</v>
      </c>
      <c r="P21" s="332">
        <f>IF(AND(SUMIF(A!C21:A!P21,"1")=0,B21=" "),"",SUMIF(A!C21:A!P21,"1"))</f>
        <v>2</v>
      </c>
      <c r="Q21" s="325"/>
    </row>
    <row r="22" spans="1:17" ht="11.25" customHeight="1">
      <c r="A22" s="322">
        <f>A!A22</f>
        <v>20</v>
      </c>
      <c r="B22" s="327" t="str">
        <f>IF(A!B22=0," ",A!B22)</f>
        <v>Stojanović Jovan</v>
      </c>
      <c r="C22" s="327"/>
      <c r="D22" s="328" t="str">
        <f>IF(OR(A!C22=CHAR(110),A!D22=CHAR(110),A!E22=CHAR(110),A!F22=CHAR(110),A!G22=CHAR(110),A!H22=CHAR(110),A!I22=CHAR(110),A!J22=CHAR(110),A!K22=CHAR(110),A!L22=CHAR(110),A!M22=CHAR(110),A!N22=CHAR(110),A!P22=CHAR(110)),"neocenjen",IF(AND(E22&gt;=4.5,E22&lt;=5),"odlican",IF(AND(E22&lt;4.5,E22&gt;=3.5),"vrlodobar",IF(AND(E22&lt;3.5,E22&gt;=2.5),"dobar",IF(AND(E22&lt;2.5,E22&gt;=2),"dovoljan",IF(OR(F22=1,F22=2,F22=3,F22=4,F22=5,F22=6,F22=7,F22=8,F22=9,F22=10),"nedovoljan",IF(OR(E22&lt;1,E22&gt;5),"")))))))</f>
        <v>vrlodobar</v>
      </c>
      <c r="E22" s="331">
        <f>IF(COUNT(A!C22:A!P22)&lt;1," ",IF(F22&gt;0,"/\/",AVERAGE(A!C22:A!N22,A!P22)))</f>
        <v>3.6666666666666665</v>
      </c>
      <c r="F22" s="332">
        <f>IF(AND(SUMIF(A!C22:A!P22,"1")=0,B22=" "),"",SUMIF(A!C22:A!P22,"1")-SUMIF(A!O22,"1"))</f>
        <v>0</v>
      </c>
      <c r="G22" s="333">
        <f>IF(AND(A!Q22=0,B22=" "),"",A!Q22)</f>
        <v>9</v>
      </c>
      <c r="H22" s="333">
        <f>IF(AND(A!R22=0,B22=" "),"",A!R22)</f>
        <v>0</v>
      </c>
      <c r="I22" s="333">
        <f t="shared" si="0"/>
        <v>9</v>
      </c>
      <c r="J22" s="333">
        <f>IF(AND(A!S22=0,B22=" "),"",A!S22)</f>
        <v>0</v>
      </c>
      <c r="K22" s="333">
        <f>IF(AND(A!T22=0,B22=" "),"",A!T22)</f>
        <v>0</v>
      </c>
      <c r="L22" s="333">
        <f t="shared" si="1"/>
        <v>0</v>
      </c>
      <c r="M22" s="333">
        <f t="shared" si="2"/>
        <v>9</v>
      </c>
      <c r="N22" s="333">
        <f t="shared" si="3"/>
        <v>0</v>
      </c>
      <c r="O22" s="333">
        <f t="shared" si="4"/>
        <v>9</v>
      </c>
      <c r="P22" s="332">
        <f>IF(AND(SUMIF(A!C22:A!P22,"1")=0,B22=" "),"",SUMIF(A!C22:A!P22,"1"))</f>
        <v>0</v>
      </c>
      <c r="Q22" s="325"/>
    </row>
    <row r="23" spans="1:17" ht="11.25" customHeight="1">
      <c r="A23" s="322">
        <f>A!A23</f>
        <v>21</v>
      </c>
      <c r="B23" s="327" t="str">
        <f>IF(A!B23=0," ",A!B23)</f>
        <v>Tadić Vesna</v>
      </c>
      <c r="C23" s="327"/>
      <c r="D23" s="328" t="str">
        <f>IF(OR(A!C23=CHAR(110),A!D23=CHAR(110),A!E23=CHAR(110),A!F23=CHAR(110),A!G23=CHAR(110),A!H23=CHAR(110),A!I23=CHAR(110),A!J23=CHAR(110),A!K23=CHAR(110),A!L23=CHAR(110),A!M23=CHAR(110),A!N23=CHAR(110),A!P23=CHAR(110)),"neocenjen",IF(AND(E23&gt;=4.5,E23&lt;=5),"odlican",IF(AND(E23&lt;4.5,E23&gt;=3.5),"vrlodobar",IF(AND(E23&lt;3.5,E23&gt;=2.5),"dobar",IF(AND(E23&lt;2.5,E23&gt;=2),"dovoljan",IF(OR(F23=1,F23=2,F23=3,F23=4,F23=5,F23=6,F23=7,F23=8,F23=9,F23=10),"nedovoljan",IF(OR(E23&lt;1,E23&gt;5),"")))))))</f>
        <v>nedovoljan</v>
      </c>
      <c r="E23" s="331" t="str">
        <f>IF(COUNT(A!C23:A!P23)&lt;1," ",IF(F23&gt;0,"/\/",AVERAGE(A!C23:A!N23,A!P23)))</f>
        <v>/\/</v>
      </c>
      <c r="F23" s="332">
        <f>IF(AND(SUMIF(A!C23:A!P23,"1")=0,B23=" "),"",SUMIF(A!C23:A!P23,"1")-SUMIF(A!O23,"1"))</f>
        <v>3</v>
      </c>
      <c r="G23" s="333">
        <f>IF(AND(A!Q23=0,B23=" "),"",A!Q23)</f>
        <v>23</v>
      </c>
      <c r="H23" s="333">
        <f>IF(AND(A!R23=0,B23=" "),"",A!R23)</f>
        <v>2</v>
      </c>
      <c r="I23" s="333">
        <f t="shared" si="0"/>
        <v>25</v>
      </c>
      <c r="J23" s="333">
        <f>IF(AND(A!S23=0,B23=" "),"",A!S23)</f>
        <v>0</v>
      </c>
      <c r="K23" s="333">
        <f>IF(AND(A!T23=0,B23=" "),"",A!T23)</f>
        <v>0</v>
      </c>
      <c r="L23" s="333">
        <f t="shared" si="1"/>
        <v>0</v>
      </c>
      <c r="M23" s="333">
        <f t="shared" si="2"/>
        <v>23</v>
      </c>
      <c r="N23" s="333">
        <f t="shared" si="3"/>
        <v>2</v>
      </c>
      <c r="O23" s="333">
        <f t="shared" si="4"/>
        <v>25</v>
      </c>
      <c r="P23" s="332">
        <f>IF(AND(SUMIF(A!C23:A!P23,"1")=0,B23=" "),"",SUMIF(A!C23:A!P23,"1"))</f>
        <v>3</v>
      </c>
      <c r="Q23" s="325"/>
    </row>
    <row r="24" spans="1:17" ht="11.25" customHeight="1">
      <c r="A24" s="322">
        <f>A!A24</f>
        <v>22</v>
      </c>
      <c r="B24" s="327" t="str">
        <f>IF(A!B24=0," ",A!B24)</f>
        <v>Misailović Jovana</v>
      </c>
      <c r="C24" s="327"/>
      <c r="D24" s="328" t="str">
        <f>IF(OR(A!C24=CHAR(110),A!D24=CHAR(110),A!E24=CHAR(110),A!F24=CHAR(110),A!G24=CHAR(110),A!H24=CHAR(110),A!I24=CHAR(110),A!J24=CHAR(110),A!K24=CHAR(110),A!L24=CHAR(110),A!M24=CHAR(110),A!N24=CHAR(110),A!P24=CHAR(110)),"neocenjen",IF(AND(E24&gt;=4.5,E24&lt;=5),"odlican",IF(AND(E24&lt;4.5,E24&gt;=3.5),"vrlodobar",IF(AND(E24&lt;3.5,E24&gt;=2.5),"dobar",IF(AND(E24&lt;2.5,E24&gt;=2),"dovoljan",IF(OR(F24=1,F24=2,F24=3,F24=4,F24=5,F24=6,F24=7,F24=8,F24=9,F24=10),"nedovoljan",IF(OR(E24&lt;1,E24&gt;5),"")))))))</f>
        <v>vrlodobar</v>
      </c>
      <c r="E24" s="331">
        <f>IF(COUNT(A!C24:A!P24)&lt;1," ",IF(F24&gt;0,"/\/",AVERAGE(A!C24:A!N24,A!P24)))</f>
        <v>3.923076923076923</v>
      </c>
      <c r="F24" s="332">
        <f>IF(AND(SUMIF(A!C24:A!P24,"1")=0,B24=" "),"",SUMIF(A!C24:A!P24,"1")-SUMIF(A!O24,"1"))</f>
        <v>0</v>
      </c>
      <c r="G24" s="333">
        <f>IF(AND(A!Q24=0,B24=" "),"",A!Q24)</f>
        <v>33</v>
      </c>
      <c r="H24" s="333">
        <f>IF(AND(A!R24=0,B24=" "),"",A!R24)</f>
        <v>0</v>
      </c>
      <c r="I24" s="333">
        <f t="shared" si="0"/>
        <v>33</v>
      </c>
      <c r="J24" s="333">
        <f>IF(AND(A!S24=0,B24=" "),"",A!S24)</f>
        <v>0</v>
      </c>
      <c r="K24" s="333">
        <f>IF(AND(A!T24=0,B24=" "),"",A!T24)</f>
        <v>0</v>
      </c>
      <c r="L24" s="333">
        <f t="shared" si="1"/>
        <v>0</v>
      </c>
      <c r="M24" s="333">
        <f t="shared" si="2"/>
        <v>33</v>
      </c>
      <c r="N24" s="333">
        <f t="shared" si="3"/>
        <v>0</v>
      </c>
      <c r="O24" s="333">
        <f t="shared" si="4"/>
        <v>33</v>
      </c>
      <c r="P24" s="332">
        <f>IF(AND(SUMIF(A!C24:A!P24,"1")=0,B24=" "),"",SUMIF(A!C24:A!P24,"1"))</f>
        <v>0</v>
      </c>
      <c r="Q24" s="325"/>
    </row>
    <row r="25" spans="1:17" ht="11.25" customHeight="1">
      <c r="A25" s="322">
        <f>A!A25</f>
        <v>23</v>
      </c>
      <c r="B25" s="327" t="str">
        <f>IF(A!B25=0," ",A!B25)</f>
        <v> </v>
      </c>
      <c r="C25" s="327"/>
      <c r="D25" s="328">
        <f>IF(OR(A!C25=CHAR(110),A!D25=CHAR(110),A!E25=CHAR(110),A!F25=CHAR(110),A!G25=CHAR(110),A!H25=CHAR(110),A!I25=CHAR(110),A!J25=CHAR(110),A!K25=CHAR(110),A!L25=CHAR(110),A!M25=CHAR(110),A!N25=CHAR(110),A!P25=CHAR(110)),"neocenjen",IF(AND(E25&gt;=4.5,E25&lt;=5),"odlican",IF(AND(E25&lt;4.5,E25&gt;=3.5),"vrlodobar",IF(AND(E25&lt;3.5,E25&gt;=2.5),"dobar",IF(AND(E25&lt;2.5,E25&gt;=2),"dovoljan",IF(OR(F25=1,F25=2,F25=3,F25=4,F25=5,F25=6,F25=7,F25=8,F25=9,F25=10),"nedovoljan",IF(OR(E25&lt;1,E25&gt;5),"")))))))</f>
      </c>
      <c r="E25" s="331" t="str">
        <f>IF(COUNT(A!C25:A!P25)&lt;1," ",IF(F25&gt;0,"/\/",AVERAGE(A!C25:A!N25,A!P25)))</f>
        <v> </v>
      </c>
      <c r="F25" s="332">
        <f>IF(AND(SUMIF(A!C25:A!P25,"1")=0,B25=" "),"",SUMIF(A!C25:A!P25,"1")-SUMIF(A!O25,"1"))</f>
      </c>
      <c r="G25" s="333">
        <f>IF(AND(A!Q25=0,B25=" "),"",A!Q25)</f>
      </c>
      <c r="H25" s="333">
        <f>IF(AND(A!R25=0,B25=" "),"",A!R25)</f>
      </c>
      <c r="I25" s="333">
        <f t="shared" si="0"/>
      </c>
      <c r="J25" s="333">
        <f>IF(AND(A!S25=0,B25=" "),"",A!S25)</f>
      </c>
      <c r="K25" s="333">
        <f>IF(AND(A!T25=0,B25=" "),"",A!T25)</f>
      </c>
      <c r="L25" s="333">
        <f t="shared" si="1"/>
      </c>
      <c r="M25" s="333">
        <f t="shared" si="2"/>
      </c>
      <c r="N25" s="333">
        <f t="shared" si="3"/>
      </c>
      <c r="O25" s="333">
        <f t="shared" si="4"/>
      </c>
      <c r="P25" s="332">
        <f>IF(AND(SUMIF(A!C25:A!P25,"1")=0,B25=" "),"",SUMIF(A!C25:A!P25,"1"))</f>
      </c>
      <c r="Q25" s="325"/>
    </row>
    <row r="26" spans="1:17" ht="11.25" customHeight="1">
      <c r="A26" s="322">
        <f>A!A26</f>
        <v>24</v>
      </c>
      <c r="B26" s="327" t="str">
        <f>IF(A!B26=0," ",A!B26)</f>
        <v> </v>
      </c>
      <c r="C26" s="327"/>
      <c r="D26" s="328">
        <f>IF(OR(A!C26=CHAR(110),A!D26=CHAR(110),A!E26=CHAR(110),A!F26=CHAR(110),A!G26=CHAR(110),A!H26=CHAR(110),A!I26=CHAR(110),A!J26=CHAR(110),A!K26=CHAR(110),A!L26=CHAR(110),A!M26=CHAR(110),A!N26=CHAR(110),A!P26=CHAR(110)),"neocenjen",IF(AND(E26&gt;=4.5,E26&lt;=5),"odlican",IF(AND(E26&lt;4.5,E26&gt;=3.5),"vrlodobar",IF(AND(E26&lt;3.5,E26&gt;=2.5),"dobar",IF(AND(E26&lt;2.5,E26&gt;=2),"dovoljan",IF(OR(F26=1,F26=2,F26=3,F26=4,F26=5,F26=6,F26=7,F26=8,F26=9,F26=10),"nedovoljan",IF(OR(E26&lt;1,E26&gt;5),"")))))))</f>
      </c>
      <c r="E26" s="331" t="str">
        <f>IF(COUNT(A!C26:A!P26)&lt;1," ",IF(F26&gt;0,"/\/",AVERAGE(A!C26:A!N26,A!P26)))</f>
        <v> </v>
      </c>
      <c r="F26" s="332">
        <f>IF(AND(SUMIF(A!C26:A!P26,"1")=0,B26=" "),"",SUMIF(A!C26:A!P26,"1")-SUMIF(A!O26,"1"))</f>
      </c>
      <c r="G26" s="333">
        <f>IF(AND(A!Q26=0,B26=" "),"",A!Q26)</f>
      </c>
      <c r="H26" s="333">
        <f>IF(AND(A!R26=0,B26=" "),"",A!R26)</f>
      </c>
      <c r="I26" s="333">
        <f t="shared" si="0"/>
      </c>
      <c r="J26" s="333">
        <f>IF(AND(A!S26=0,B26=" "),"",A!S26)</f>
      </c>
      <c r="K26" s="333">
        <f>IF(AND(A!T26=0,B26=" "),"",A!T26)</f>
      </c>
      <c r="L26" s="333">
        <f t="shared" si="1"/>
      </c>
      <c r="M26" s="333">
        <f t="shared" si="2"/>
      </c>
      <c r="N26" s="333">
        <f t="shared" si="3"/>
      </c>
      <c r="O26" s="333">
        <f t="shared" si="4"/>
      </c>
      <c r="P26" s="332">
        <f>IF(AND(SUMIF(A!C26:A!P26,"1")=0,B26=" "),"",SUMIF(A!C26:A!P26,"1"))</f>
      </c>
      <c r="Q26" s="325"/>
    </row>
    <row r="27" spans="1:17" ht="11.25" customHeight="1">
      <c r="A27" s="322">
        <f>A!A27</f>
        <v>25</v>
      </c>
      <c r="B27" s="327" t="str">
        <f>IF(A!B27=0," ",A!B27)</f>
        <v> </v>
      </c>
      <c r="C27" s="327"/>
      <c r="D27" s="328">
        <f>IF(OR(A!C27=CHAR(110),A!D27=CHAR(110),A!E27=CHAR(110),A!F27=CHAR(110),A!G27=CHAR(110),A!H27=CHAR(110),A!I27=CHAR(110),A!J27=CHAR(110),A!K27=CHAR(110),A!L27=CHAR(110),A!M27=CHAR(110),A!N27=CHAR(110),A!P27=CHAR(110)),"neocenjen",IF(AND(E27&gt;=4.5,E27&lt;=5),"odlican",IF(AND(E27&lt;4.5,E27&gt;=3.5),"vrlodobar",IF(AND(E27&lt;3.5,E27&gt;=2.5),"dobar",IF(AND(E27&lt;2.5,E27&gt;=2),"dovoljan",IF(OR(F27=1,F27=2,F27=3,F27=4,F27=5,F27=6,F27=7,F27=8,F27=9,F27=10),"nedovoljan",IF(OR(E27&lt;1,E27&gt;5),"")))))))</f>
      </c>
      <c r="E27" s="331" t="str">
        <f>IF(COUNT(A!C27:A!P27)&lt;1," ",IF(F27&gt;0,"/\/",AVERAGE(A!C27:A!N27,A!P27)))</f>
        <v> </v>
      </c>
      <c r="F27" s="332">
        <f>IF(AND(SUMIF(A!C27:A!P27,"1")=0,B27=" "),"",SUMIF(A!C27:A!P27,"1")-SUMIF(A!O27,"1"))</f>
      </c>
      <c r="G27" s="333">
        <f>IF(AND(A!Q27=0,B27=" "),"",A!Q27)</f>
      </c>
      <c r="H27" s="333">
        <f>IF(AND(A!R27=0,B27=" "),"",A!R27)</f>
      </c>
      <c r="I27" s="333">
        <f t="shared" si="0"/>
      </c>
      <c r="J27" s="333">
        <f>IF(AND(A!S27=0,B27=" "),"",A!S27)</f>
      </c>
      <c r="K27" s="333">
        <f>IF(AND(A!T27=0,B27=" "),"",A!T27)</f>
      </c>
      <c r="L27" s="333">
        <f t="shared" si="1"/>
      </c>
      <c r="M27" s="333">
        <f t="shared" si="2"/>
      </c>
      <c r="N27" s="333">
        <f t="shared" si="3"/>
      </c>
      <c r="O27" s="333">
        <f t="shared" si="4"/>
      </c>
      <c r="P27" s="332">
        <f>IF(AND(SUMIF(A!C27:A!P27,"1")=0,B27=" "),"",SUMIF(A!C27:A!P27,"1"))</f>
      </c>
      <c r="Q27" s="325"/>
    </row>
    <row r="28" spans="1:17" ht="11.25" customHeight="1">
      <c r="A28" s="322">
        <f>A!A28</f>
        <v>26</v>
      </c>
      <c r="B28" s="327" t="str">
        <f>IF(A!B28=0," ",A!B28)</f>
        <v> </v>
      </c>
      <c r="C28" s="327"/>
      <c r="D28" s="328">
        <f>IF(OR(A!C28=CHAR(110),A!D28=CHAR(110),A!E28=CHAR(110),A!F28=CHAR(110),A!G28=CHAR(110),A!H28=CHAR(110),A!I28=CHAR(110),A!J28=CHAR(110),A!K28=CHAR(110),A!L28=CHAR(110),A!M28=CHAR(110),A!N28=CHAR(110),A!P28=CHAR(110)),"neocenjen",IF(AND(E28&gt;=4.5,E28&lt;=5),"odlican",IF(AND(E28&lt;4.5,E28&gt;=3.5),"vrlodobar",IF(AND(E28&lt;3.5,E28&gt;=2.5),"dobar",IF(AND(E28&lt;2.5,E28&gt;=2),"dovoljan",IF(OR(F28=1,F28=2,F28=3,F28=4,F28=5,F28=6,F28=7,F28=8,F28=9,F28=10),"nedovoljan",IF(OR(E28&lt;1,E28&gt;5),"")))))))</f>
      </c>
      <c r="E28" s="331" t="str">
        <f>IF(COUNT(A!C28:A!P28)&lt;1," ",IF(F28&gt;0,"/\/",AVERAGE(A!C28:A!N28,A!P28)))</f>
        <v> </v>
      </c>
      <c r="F28" s="332">
        <f>IF(AND(SUMIF(A!C28:A!P28,"1")=0,B28=" "),"",SUMIF(A!C28:A!P28,"1")-SUMIF(A!O28,"1"))</f>
      </c>
      <c r="G28" s="333">
        <f>IF(AND(A!Q28=0,B28=" "),"",A!Q28)</f>
      </c>
      <c r="H28" s="333">
        <f>IF(AND(A!R28=0,B28=" "),"",A!R28)</f>
      </c>
      <c r="I28" s="333">
        <f t="shared" si="0"/>
      </c>
      <c r="J28" s="333">
        <f>IF(AND(A!S28=0,B28=" "),"",A!S28)</f>
      </c>
      <c r="K28" s="333">
        <f>IF(AND(A!T28=0,B28=" "),"",A!T28)</f>
      </c>
      <c r="L28" s="333">
        <f t="shared" si="1"/>
      </c>
      <c r="M28" s="333">
        <f t="shared" si="2"/>
      </c>
      <c r="N28" s="333">
        <f t="shared" si="3"/>
      </c>
      <c r="O28" s="333">
        <f t="shared" si="4"/>
      </c>
      <c r="P28" s="332">
        <f>IF(AND(SUMIF(A!C28:A!P28,"1")=0,B28=" "),"",SUMIF(A!C28:A!P28,"1"))</f>
      </c>
      <c r="Q28" s="325"/>
    </row>
    <row r="29" spans="1:17" ht="11.25" customHeight="1">
      <c r="A29" s="322">
        <f>A!A29</f>
        <v>27</v>
      </c>
      <c r="B29" s="327" t="str">
        <f>IF(A!B29=0," ",A!B29)</f>
        <v> </v>
      </c>
      <c r="C29" s="327"/>
      <c r="D29" s="328">
        <f>IF(OR(A!C29=CHAR(110),A!D29=CHAR(110),A!E29=CHAR(110),A!F29=CHAR(110),A!G29=CHAR(110),A!H29=CHAR(110),A!I29=CHAR(110),A!J29=CHAR(110),A!K29=CHAR(110),A!L29=CHAR(110),A!M29=CHAR(110),A!N29=CHAR(110),A!P29=CHAR(110)),"neocenjen",IF(AND(E29&gt;=4.5,E29&lt;=5),"odlican",IF(AND(E29&lt;4.5,E29&gt;=3.5),"vrlodobar",IF(AND(E29&lt;3.5,E29&gt;=2.5),"dobar",IF(AND(E29&lt;2.5,E29&gt;=2),"dovoljan",IF(OR(F29=1,F29=2,F29=3,F29=4,F29=5,F29=6,F29=7,F29=8,F29=9,F29=10),"nedovoljan",IF(OR(E29&lt;1,E29&gt;5),"")))))))</f>
      </c>
      <c r="E29" s="331" t="str">
        <f>IF(COUNT(A!C29:A!P29)&lt;1," ",IF(F29&gt;0,"/\/",AVERAGE(A!C29:A!N29,A!P29)))</f>
        <v> </v>
      </c>
      <c r="F29" s="332">
        <f>IF(AND(SUMIF(A!C29:A!P29,"1")=0,B29=" "),"",SUMIF(A!C29:A!P29,"1")-SUMIF(A!O29,"1"))</f>
      </c>
      <c r="G29" s="333">
        <f>IF(AND(A!Q29=0,B29=" "),"",A!Q29)</f>
      </c>
      <c r="H29" s="333">
        <f>IF(AND(A!R29=0,B29=" "),"",A!R29)</f>
      </c>
      <c r="I29" s="333">
        <f t="shared" si="0"/>
      </c>
      <c r="J29" s="333">
        <f>IF(AND(A!S29=0,B29=" "),"",A!S29)</f>
      </c>
      <c r="K29" s="333">
        <f>IF(AND(A!T29=0,B29=" "),"",A!T29)</f>
      </c>
      <c r="L29" s="333">
        <f t="shared" si="1"/>
      </c>
      <c r="M29" s="333">
        <f t="shared" si="2"/>
      </c>
      <c r="N29" s="333">
        <f t="shared" si="3"/>
      </c>
      <c r="O29" s="333">
        <f t="shared" si="4"/>
      </c>
      <c r="P29" s="332">
        <f>IF(AND(SUMIF(A!C29:A!P29,"1")=0,B29=" "),"",SUMIF(A!C29:A!P29,"1"))</f>
      </c>
      <c r="Q29" s="325"/>
    </row>
    <row r="30" spans="1:17" ht="11.25" customHeight="1">
      <c r="A30" s="322">
        <f>A!A30</f>
        <v>28</v>
      </c>
      <c r="B30" s="327" t="str">
        <f>IF(A!B30=0," ",A!B30)</f>
        <v> </v>
      </c>
      <c r="C30" s="327"/>
      <c r="D30" s="328">
        <f>IF(OR(A!C30=CHAR(110),A!D30=CHAR(110),A!E30=CHAR(110),A!F30=CHAR(110),A!G30=CHAR(110),A!H30=CHAR(110),A!I30=CHAR(110),A!J30=CHAR(110),A!K30=CHAR(110),A!L30=CHAR(110),A!M30=CHAR(110),A!N30=CHAR(110),A!P30=CHAR(110)),"neocenjen",IF(AND(E30&gt;=4.5,E30&lt;=5),"odlican",IF(AND(E30&lt;4.5,E30&gt;=3.5),"vrlodobar",IF(AND(E30&lt;3.5,E30&gt;=2.5),"dobar",IF(AND(E30&lt;2.5,E30&gt;=2),"dovoljan",IF(OR(F30=1,F30=2,F30=3,F30=4,F30=5,F30=6,F30=7,F30=8,F30=9,F30=10),"nedovoljan",IF(OR(E30&lt;1,E30&gt;5),"")))))))</f>
      </c>
      <c r="E30" s="331" t="str">
        <f>IF(COUNT(A!C30:A!P30)&lt;1," ",IF(F30&gt;0,"/\/",AVERAGE(A!C30:A!N30,A!P30)))</f>
        <v> </v>
      </c>
      <c r="F30" s="332">
        <f>IF(AND(SUMIF(A!C30:A!P30,"1")=0,B30=" "),"",SUMIF(A!C30:A!P30,"1")-SUMIF(A!O30,"1"))</f>
      </c>
      <c r="G30" s="333">
        <f>IF(AND(A!Q30=0,B30=" "),"",A!Q30)</f>
      </c>
      <c r="H30" s="333">
        <f>IF(AND(A!R30=0,B30=" "),"",A!R30)</f>
      </c>
      <c r="I30" s="333">
        <f t="shared" si="0"/>
      </c>
      <c r="J30" s="333">
        <f>IF(AND(A!S30=0,B30=" "),"",A!S30)</f>
      </c>
      <c r="K30" s="333">
        <f>IF(AND(A!T30=0,B30=" "),"",A!T30)</f>
      </c>
      <c r="L30" s="333">
        <f t="shared" si="1"/>
      </c>
      <c r="M30" s="333">
        <f t="shared" si="2"/>
      </c>
      <c r="N30" s="333">
        <f t="shared" si="3"/>
      </c>
      <c r="O30" s="333">
        <f t="shared" si="4"/>
      </c>
      <c r="P30" s="332">
        <f>IF(AND(SUMIF(A!C30:A!P30,"1")=0,B30=" "),"",SUMIF(A!C30:A!P30,"1"))</f>
      </c>
      <c r="Q30" s="325"/>
    </row>
    <row r="31" spans="1:17" ht="11.25" customHeight="1">
      <c r="A31" s="322">
        <f>A!A31</f>
        <v>29</v>
      </c>
      <c r="B31" s="327" t="str">
        <f>IF(A!B31=0," ",A!B31)</f>
        <v> </v>
      </c>
      <c r="C31" s="327"/>
      <c r="D31" s="328">
        <f>IF(OR(A!C31=CHAR(110),A!D31=CHAR(110),A!E31=CHAR(110),A!F31=CHAR(110),A!G31=CHAR(110),A!H31=CHAR(110),A!I31=CHAR(110),A!J31=CHAR(110),A!K31=CHAR(110),A!L31=CHAR(110),A!M31=CHAR(110),A!N31=CHAR(110),A!P31=CHAR(110)),"neocenjen",IF(AND(E31&gt;=4.5,E31&lt;=5),"odlican",IF(AND(E31&lt;4.5,E31&gt;=3.5),"vrlodobar",IF(AND(E31&lt;3.5,E31&gt;=2.5),"dobar",IF(AND(E31&lt;2.5,E31&gt;=2),"dovoljan",IF(OR(F31=1,F31=2,F31=3,F31=4,F31=5,F31=6,F31=7,F31=8,F31=9,F31=10),"nedovoljan",IF(OR(E31&lt;1,E31&gt;5),"")))))))</f>
      </c>
      <c r="E31" s="331" t="str">
        <f>IF(COUNT(A!C31:A!P31)&lt;1," ",IF(F31&gt;0,"/\/",AVERAGE(A!C31:A!N31,A!P31)))</f>
        <v> </v>
      </c>
      <c r="F31" s="332">
        <f>IF(AND(SUMIF(A!C31:A!P31,"1")=0,B31=" "),"",SUMIF(A!C31:A!P31,"1")-SUMIF(A!O31,"1"))</f>
      </c>
      <c r="G31" s="333">
        <f>IF(AND(A!Q31=0,B31=" "),"",A!Q31)</f>
      </c>
      <c r="H31" s="333">
        <f>IF(AND(A!R31=0,B31=" "),"",A!R31)</f>
      </c>
      <c r="I31" s="333">
        <f t="shared" si="0"/>
      </c>
      <c r="J31" s="333">
        <f>IF(AND(A!S31=0,B31=" "),"",A!S31)</f>
      </c>
      <c r="K31" s="333">
        <f>IF(AND(A!T31=0,B31=" "),"",A!T31)</f>
      </c>
      <c r="L31" s="333">
        <f t="shared" si="1"/>
      </c>
      <c r="M31" s="333">
        <f t="shared" si="2"/>
      </c>
      <c r="N31" s="333">
        <f t="shared" si="3"/>
      </c>
      <c r="O31" s="333">
        <f t="shared" si="4"/>
      </c>
      <c r="P31" s="332">
        <f>IF(AND(SUMIF(A!C31:A!P31,"1")=0,B31=" "),"",SUMIF(A!C31:A!P31,"1"))</f>
      </c>
      <c r="Q31" s="325"/>
    </row>
    <row r="32" spans="1:17" ht="11.25" customHeight="1">
      <c r="A32" s="322">
        <f>A!A32</f>
        <v>30</v>
      </c>
      <c r="B32" s="327" t="str">
        <f>IF(A!B32=0," ",A!B32)</f>
        <v> </v>
      </c>
      <c r="C32" s="327"/>
      <c r="D32" s="328">
        <f>IF(OR(A!C32=CHAR(110),A!D32=CHAR(110),A!E32=CHAR(110),A!F32=CHAR(110),A!G32=CHAR(110),A!H32=CHAR(110),A!I32=CHAR(110),A!J32=CHAR(110),A!K32=CHAR(110),A!L32=CHAR(110),A!M32=CHAR(110),A!N32=CHAR(110),A!P32=CHAR(110)),"neocenjen",IF(AND(E32&gt;=4.5,E32&lt;=5),"odlican",IF(AND(E32&lt;4.5,E32&gt;=3.5),"vrlodobar",IF(AND(E32&lt;3.5,E32&gt;=2.5),"dobar",IF(AND(E32&lt;2.5,E32&gt;=2),"dovoljan",IF(OR(F32=1,F32=2,F32=3,F32=4,F32=5,F32=6,F32=7,F32=8,F32=9,F32=10),"nedovoljan",IF(OR(E32&lt;1,E32&gt;5),"")))))))</f>
      </c>
      <c r="E32" s="331" t="str">
        <f>IF(COUNT(A!C32:A!P32)&lt;1," ",IF(F32&gt;0,"/\/",AVERAGE(A!C32:A!N32,A!P32)))</f>
        <v> </v>
      </c>
      <c r="F32" s="332">
        <f>IF(AND(SUMIF(A!C32:A!P32,"1")=0,B32=" "),"",SUMIF(A!C32:A!P32,"1")-SUMIF(A!O32,"1"))</f>
      </c>
      <c r="G32" s="333">
        <f>IF(AND(A!Q32=0,B32=" "),"",A!Q32)</f>
      </c>
      <c r="H32" s="333">
        <f>IF(AND(A!R32=0,B32=" "),"",A!R32)</f>
      </c>
      <c r="I32" s="333">
        <f>IF(AND(G32="",H32=""),"",SUM(G32:H32))</f>
      </c>
      <c r="J32" s="333">
        <f>IF(AND(A!S32=0,B32=" "),"",A!S32)</f>
      </c>
      <c r="K32" s="333">
        <f>IF(AND(A!T32=0,B32=" "),"",A!T32)</f>
      </c>
      <c r="L32" s="333">
        <f>IF(AND(J32="",K32=""),"",SUM(J32:K32))</f>
      </c>
      <c r="M32" s="333">
        <f>IF(AND(G32="",J32=""),"",SUM(G32+J32))</f>
      </c>
      <c r="N32" s="333">
        <f>IF(AND(H32="",K32=""),"",SUM(H32+K32))</f>
      </c>
      <c r="O32" s="333">
        <f>IF(AND(I32="",L32=""),"",SUM(I32+L32))</f>
      </c>
      <c r="P32" s="332">
        <f>IF(AND(SUMIF(A!C32:A!P32,"1")=0,B32=" "),"",SUMIF(A!C32:A!P32,"1"))</f>
      </c>
      <c r="Q32" s="325"/>
    </row>
    <row r="33" spans="1:17" ht="11.25" customHeight="1">
      <c r="A33" s="322">
        <f>A!A33</f>
        <v>31</v>
      </c>
      <c r="B33" s="327" t="str">
        <f>IF(A!B33=0," ",A!B33)</f>
        <v> </v>
      </c>
      <c r="C33" s="327"/>
      <c r="D33" s="328">
        <f>IF(OR(A!C33=CHAR(110),A!D33=CHAR(110),A!E33=CHAR(110),A!F33=CHAR(110),A!G33=CHAR(110),A!H33=CHAR(110),A!I33=CHAR(110),A!J33=CHAR(110),A!K33=CHAR(110),A!L33=CHAR(110),A!M33=CHAR(110),A!N33=CHAR(110),A!P33=CHAR(110)),"neocenjen",IF(AND(E33&gt;=4.5,E33&lt;=5),"odlican",IF(AND(E33&lt;4.5,E33&gt;=3.5),"vrlodobar",IF(AND(E33&lt;3.5,E33&gt;=2.5),"dobar",IF(AND(E33&lt;2.5,E33&gt;=2),"dovoljan",IF(OR(F33=1,F33=2,F33=3,F33=4,F33=5,F33=6,F33=7,F33=8,F33=9,F33=10),"nedovoljan",IF(OR(E33&lt;1,E33&gt;5),"")))))))</f>
      </c>
      <c r="E33" s="331" t="str">
        <f>IF(COUNT(A!C33:A!P33)&lt;1," ",IF(F33&gt;0,"/\/",AVERAGE(A!C33:A!N33,A!P33)))</f>
        <v> </v>
      </c>
      <c r="F33" s="332">
        <f>IF(AND(SUMIF(A!C33:A!P33,"1")=0,B33=" "),"",SUMIF(A!C33:A!P33,"1")-SUMIF(A!O33,"1"))</f>
      </c>
      <c r="G33" s="333">
        <f>IF(AND(A!Q33=0,B33=" "),"",A!Q33)</f>
      </c>
      <c r="H33" s="333">
        <f>IF(AND(A!R33=0,B33=" "),"",A!R33)</f>
      </c>
      <c r="I33" s="333">
        <f aca="true" t="shared" si="5" ref="I33:I42">IF(AND(G33="",H33=""),"",SUM(G33:H33))</f>
      </c>
      <c r="J33" s="333">
        <f>IF(AND(A!S33=0,B33=" "),"",A!S33)</f>
      </c>
      <c r="K33" s="333">
        <f>IF(AND(A!T33=0,B33=" "),"",A!T33)</f>
      </c>
      <c r="L33" s="333">
        <f aca="true" t="shared" si="6" ref="L33:L42">IF(AND(J33="",K33=""),"",SUM(J33:K33))</f>
      </c>
      <c r="M33" s="333">
        <f aca="true" t="shared" si="7" ref="M33:M42">IF(AND(G33="",J33=""),"",SUM(G33+J33))</f>
      </c>
      <c r="N33" s="333">
        <f t="shared" si="3"/>
      </c>
      <c r="O33" s="333">
        <f aca="true" t="shared" si="8" ref="O33:O42">IF(AND(I33="",L33=""),"",SUM(I33+L33))</f>
      </c>
      <c r="P33" s="332">
        <f>IF(AND(SUMIF(A!C33:A!P33,"1")=0,B33=" "),"",SUMIF(A!C33:A!P33,"1"))</f>
      </c>
      <c r="Q33" s="325"/>
    </row>
    <row r="34" spans="1:17" ht="11.25" customHeight="1">
      <c r="A34" s="322">
        <f>A!A34</f>
        <v>32</v>
      </c>
      <c r="B34" s="327" t="str">
        <f>IF(A!B34=0," ",A!B34)</f>
        <v> </v>
      </c>
      <c r="C34" s="327"/>
      <c r="D34" s="328">
        <f>IF(OR(A!C34=CHAR(110),A!D34=CHAR(110),A!E34=CHAR(110),A!F34=CHAR(110),A!G34=CHAR(110),A!H34=CHAR(110),A!I34=CHAR(110),A!J34=CHAR(110),A!K34=CHAR(110),A!L34=CHAR(110),A!M34=CHAR(110),A!N34=CHAR(110),A!P34=CHAR(110)),"neocenjen",IF(AND(E34&gt;=4.5,E34&lt;=5),"odlican",IF(AND(E34&lt;4.5,E34&gt;=3.5),"vrlodobar",IF(AND(E34&lt;3.5,E34&gt;=2.5),"dobar",IF(AND(E34&lt;2.5,E34&gt;=2),"dovoljan",IF(OR(F34=1,F34=2,F34=3,F34=4,F34=5,F34=6,F34=7,F34=8,F34=9,F34=10),"nedovoljan",IF(OR(E34&lt;1,E34&gt;5),"")))))))</f>
      </c>
      <c r="E34" s="331" t="str">
        <f>IF(COUNT(A!C34:A!P34)&lt;1," ",IF(F34&gt;0,"/\/",AVERAGE(A!C34:A!N34,A!P34)))</f>
        <v> </v>
      </c>
      <c r="F34" s="332">
        <f>IF(AND(SUMIF(A!C34:A!P34,"1")=0,B34=" "),"",SUMIF(A!C34:A!P34,"1")-SUMIF(A!O34,"1"))</f>
      </c>
      <c r="G34" s="333">
        <f>IF(AND(A!Q34=0,B34=" "),"",A!Q34)</f>
      </c>
      <c r="H34" s="333">
        <f>IF(AND(A!R34=0,B34=" "),"",A!R34)</f>
      </c>
      <c r="I34" s="333">
        <f t="shared" si="5"/>
      </c>
      <c r="J34" s="333">
        <f>IF(AND(A!S34=0,B34=" "),"",A!S34)</f>
      </c>
      <c r="K34" s="333">
        <f>IF(AND(A!T34=0,B34=" "),"",A!T34)</f>
      </c>
      <c r="L34" s="333">
        <f t="shared" si="6"/>
      </c>
      <c r="M34" s="333">
        <f t="shared" si="7"/>
      </c>
      <c r="N34" s="333">
        <f t="shared" si="3"/>
      </c>
      <c r="O34" s="333">
        <f t="shared" si="8"/>
      </c>
      <c r="P34" s="332">
        <f>IF(AND(SUMIF(A!C34:A!P34,"1")=0,B34=" "),"",SUMIF(A!C34:A!P34,"1"))</f>
      </c>
      <c r="Q34" s="325"/>
    </row>
    <row r="35" spans="1:17" ht="11.25" customHeight="1">
      <c r="A35" s="322">
        <f>A!A35</f>
        <v>33</v>
      </c>
      <c r="B35" s="327" t="str">
        <f>IF(A!B35=0," ",A!B35)</f>
        <v> </v>
      </c>
      <c r="C35" s="327"/>
      <c r="D35" s="328">
        <f>IF(OR(A!C35=CHAR(110),A!D35=CHAR(110),A!E35=CHAR(110),A!F35=CHAR(110),A!G35=CHAR(110),A!H35=CHAR(110),A!I35=CHAR(110),A!J35=CHAR(110),A!K35=CHAR(110),A!L35=CHAR(110),A!M35=CHAR(110),A!N35=CHAR(110),A!P35=CHAR(110)),"neocenjen",IF(AND(E35&gt;=4.5,E35&lt;=5),"odlican",IF(AND(E35&lt;4.5,E35&gt;=3.5),"vrlodobar",IF(AND(E35&lt;3.5,E35&gt;=2.5),"dobar",IF(AND(E35&lt;2.5,E35&gt;=2),"dovoljan",IF(OR(F35=1,F35=2,F35=3,F35=4,F35=5,F35=6,F35=7,F35=8,F35=9,F35=10),"nedovoljan",IF(OR(E35&lt;1,E35&gt;5),"")))))))</f>
      </c>
      <c r="E35" s="331" t="str">
        <f>IF(COUNT(A!C35:A!P35)&lt;1," ",IF(F35&gt;0,"/\/",AVERAGE(A!C35:A!N35,A!P35)))</f>
        <v> </v>
      </c>
      <c r="F35" s="332">
        <f>IF(AND(SUMIF(A!C35:A!P35,"1")=0,B35=" "),"",SUMIF(A!C35:A!P35,"1")-SUMIF(A!O35,"1"))</f>
      </c>
      <c r="G35" s="333">
        <f>IF(AND(A!Q35=0,B35=" "),"",A!Q35)</f>
      </c>
      <c r="H35" s="333">
        <f>IF(AND(A!R35=0,B35=" "),"",A!R35)</f>
      </c>
      <c r="I35" s="333">
        <f t="shared" si="5"/>
      </c>
      <c r="J35" s="333">
        <f>IF(AND(A!S35=0,B35=" "),"",A!S35)</f>
      </c>
      <c r="K35" s="333">
        <f>IF(AND(A!T35=0,B35=" "),"",A!T35)</f>
      </c>
      <c r="L35" s="333">
        <f t="shared" si="6"/>
      </c>
      <c r="M35" s="333">
        <f t="shared" si="7"/>
      </c>
      <c r="N35" s="333">
        <f t="shared" si="3"/>
      </c>
      <c r="O35" s="333">
        <f t="shared" si="8"/>
      </c>
      <c r="P35" s="332">
        <f>IF(AND(SUMIF(A!C35:A!P35,"1")=0,B35=" "),"",SUMIF(A!C35:A!P35,"1"))</f>
      </c>
      <c r="Q35" s="325"/>
    </row>
    <row r="36" spans="1:17" ht="11.25" customHeight="1">
      <c r="A36" s="322">
        <f>A!A36</f>
        <v>34</v>
      </c>
      <c r="B36" s="327" t="str">
        <f>IF(A!B36=0," ",A!B36)</f>
        <v> </v>
      </c>
      <c r="C36" s="327"/>
      <c r="D36" s="328">
        <f>IF(OR(A!C36=CHAR(110),A!D36=CHAR(110),A!E36=CHAR(110),A!F36=CHAR(110),A!G36=CHAR(110),A!H36=CHAR(110),A!I36=CHAR(110),A!J36=CHAR(110),A!K36=CHAR(110),A!L36=CHAR(110),A!M36=CHAR(110),A!N36=CHAR(110),A!P36=CHAR(110)),"neocenjen",IF(AND(E36&gt;=4.5,E36&lt;=5),"odlican",IF(AND(E36&lt;4.5,E36&gt;=3.5),"vrlodobar",IF(AND(E36&lt;3.5,E36&gt;=2.5),"dobar",IF(AND(E36&lt;2.5,E36&gt;=2),"dovoljan",IF(OR(F36=1,F36=2,F36=3,F36=4,F36=5,F36=6,F36=7,F36=8,F36=9,F36=10),"nedovoljan",IF(OR(E36&lt;1,E36&gt;5),"")))))))</f>
      </c>
      <c r="E36" s="331" t="str">
        <f>IF(COUNT(A!C36:A!P36)&lt;1," ",IF(F36&gt;0,"/\/",AVERAGE(A!C36:A!N36,A!P36)))</f>
        <v> </v>
      </c>
      <c r="F36" s="332">
        <f>IF(AND(SUMIF(A!C36:A!P36,"1")=0,B36=" "),"",SUMIF(A!C36:A!P36,"1")-SUMIF(A!O36,"1"))</f>
      </c>
      <c r="G36" s="333">
        <f>IF(AND(A!Q36=0,B36=" "),"",A!Q36)</f>
      </c>
      <c r="H36" s="333">
        <f>IF(AND(A!R36=0,B36=" "),"",A!R36)</f>
      </c>
      <c r="I36" s="333">
        <f t="shared" si="5"/>
      </c>
      <c r="J36" s="333">
        <f>IF(AND(A!S36=0,B36=" "),"",A!S36)</f>
      </c>
      <c r="K36" s="333">
        <f>IF(AND(A!T36=0,B36=" "),"",A!T36)</f>
      </c>
      <c r="L36" s="333">
        <f t="shared" si="6"/>
      </c>
      <c r="M36" s="333">
        <f t="shared" si="7"/>
      </c>
      <c r="N36" s="333">
        <f t="shared" si="3"/>
      </c>
      <c r="O36" s="333">
        <f t="shared" si="8"/>
      </c>
      <c r="P36" s="332">
        <f>IF(AND(SUMIF(A!C36:A!P36,"1")=0,B36=" "),"",SUMIF(A!C36:A!P36,"1"))</f>
      </c>
      <c r="Q36" s="325"/>
    </row>
    <row r="37" spans="1:17" ht="11.25" customHeight="1">
      <c r="A37" s="322">
        <f>A!A37</f>
        <v>35</v>
      </c>
      <c r="B37" s="327" t="str">
        <f>IF(A!B37=0," ",A!B37)</f>
        <v> </v>
      </c>
      <c r="C37" s="327"/>
      <c r="D37" s="328">
        <f>IF(OR(A!C37=CHAR(110),A!D37=CHAR(110),A!E37=CHAR(110),A!F37=CHAR(110),A!G37=CHAR(110),A!H37=CHAR(110),A!I37=CHAR(110),A!J37=CHAR(110),A!K37=CHAR(110),A!L37=CHAR(110),A!M37=CHAR(110),A!N37=CHAR(110),A!P37=CHAR(110)),"neocenjen",IF(AND(E37&gt;=4.5,E37&lt;=5),"odlican",IF(AND(E37&lt;4.5,E37&gt;=3.5),"vrlodobar",IF(AND(E37&lt;3.5,E37&gt;=2.5),"dobar",IF(AND(E37&lt;2.5,E37&gt;=2),"dovoljan",IF(OR(F37=1,F37=2,F37=3,F37=4,F37=5,F37=6,F37=7,F37=8,F37=9,F37=10),"nedovoljan",IF(OR(E37&lt;1,E37&gt;5),"")))))))</f>
      </c>
      <c r="E37" s="331" t="str">
        <f>IF(COUNT(A!C37:A!P37)&lt;1," ",IF(F37&gt;0,"/\/",AVERAGE(A!C37:A!N37,A!P37)))</f>
        <v> </v>
      </c>
      <c r="F37" s="332">
        <f>IF(AND(SUMIF(A!C37:A!P37,"1")=0,B37=" "),"",SUMIF(A!C37:A!P37,"1")-SUMIF(A!O37,"1"))</f>
      </c>
      <c r="G37" s="333">
        <f>IF(AND(A!Q37=0,B37=" "),"",A!Q37)</f>
      </c>
      <c r="H37" s="333">
        <f>IF(AND(A!R37=0,B37=" "),"",A!R37)</f>
      </c>
      <c r="I37" s="333">
        <f t="shared" si="5"/>
      </c>
      <c r="J37" s="333">
        <f>IF(AND(A!S37=0,B37=" "),"",A!S37)</f>
      </c>
      <c r="K37" s="333">
        <f>IF(AND(A!T37=0,B37=" "),"",A!T37)</f>
      </c>
      <c r="L37" s="333">
        <f t="shared" si="6"/>
      </c>
      <c r="M37" s="333">
        <f t="shared" si="7"/>
      </c>
      <c r="N37" s="333">
        <f t="shared" si="3"/>
      </c>
      <c r="O37" s="333">
        <f t="shared" si="8"/>
      </c>
      <c r="P37" s="332">
        <f>IF(AND(SUMIF(A!C37:A!P37,"1")=0,B37=" "),"",SUMIF(A!C37:A!P37,"1"))</f>
      </c>
      <c r="Q37" s="325"/>
    </row>
    <row r="38" spans="1:17" ht="11.25" customHeight="1">
      <c r="A38" s="322">
        <f>A!A38</f>
        <v>36</v>
      </c>
      <c r="B38" s="327" t="str">
        <f>IF(A!B38=0," ",A!B38)</f>
        <v> </v>
      </c>
      <c r="C38" s="327"/>
      <c r="D38" s="328">
        <f>IF(OR(A!C38=CHAR(110),A!D38=CHAR(110),A!E38=CHAR(110),A!F38=CHAR(110),A!G38=CHAR(110),A!H38=CHAR(110),A!I38=CHAR(110),A!J38=CHAR(110),A!K38=CHAR(110),A!L38=CHAR(110),A!M38=CHAR(110),A!N38=CHAR(110),A!P38=CHAR(110)),"neocenjen",IF(AND(E38&gt;=4.5,E38&lt;=5),"odlican",IF(AND(E38&lt;4.5,E38&gt;=3.5),"vrlodobar",IF(AND(E38&lt;3.5,E38&gt;=2.5),"dobar",IF(AND(E38&lt;2.5,E38&gt;=2),"dovoljan",IF(OR(F38=1,F38=2,F38=3,F38=4,F38=5,F38=6,F38=7,F38=8,F38=9,F38=10),"nedovoljan",IF(OR(E38&lt;1,E38&gt;5),"")))))))</f>
      </c>
      <c r="E38" s="331" t="str">
        <f>IF(COUNT(A!C38:A!P38)&lt;1," ",IF(F38&gt;0,"/\/",AVERAGE(A!C38:A!N38,A!P38)))</f>
        <v> </v>
      </c>
      <c r="F38" s="332">
        <f>IF(AND(SUMIF(A!C38:A!P38,"1")=0,B38=" "),"",SUMIF(A!C38:A!P38,"1")-SUMIF(A!O38,"1"))</f>
      </c>
      <c r="G38" s="333">
        <f>IF(AND(A!Q38=0,B38=" "),"",A!Q38)</f>
      </c>
      <c r="H38" s="333">
        <f>IF(AND(A!R38=0,B38=" "),"",A!R38)</f>
      </c>
      <c r="I38" s="333">
        <f t="shared" si="5"/>
      </c>
      <c r="J38" s="333">
        <f>IF(AND(A!S38=0,B38=" "),"",A!S38)</f>
      </c>
      <c r="K38" s="333">
        <f>IF(AND(A!T38=0,B38=" "),"",A!T38)</f>
      </c>
      <c r="L38" s="333">
        <f t="shared" si="6"/>
      </c>
      <c r="M38" s="333">
        <f t="shared" si="7"/>
      </c>
      <c r="N38" s="333">
        <f t="shared" si="3"/>
      </c>
      <c r="O38" s="333">
        <f t="shared" si="8"/>
      </c>
      <c r="P38" s="332">
        <f>IF(AND(SUMIF(A!C38:A!P38,"1")=0,B38=" "),"",SUMIF(A!C38:A!P38,"1"))</f>
      </c>
      <c r="Q38" s="325"/>
    </row>
    <row r="39" spans="1:17" ht="11.25" customHeight="1">
      <c r="A39" s="322">
        <f>A!A39</f>
        <v>37</v>
      </c>
      <c r="B39" s="327" t="str">
        <f>IF(A!B39=0," ",A!B39)</f>
        <v> </v>
      </c>
      <c r="C39" s="327"/>
      <c r="D39" s="328">
        <f>IF(OR(A!C39=CHAR(110),A!D39=CHAR(110),A!E39=CHAR(110),A!F39=CHAR(110),A!G39=CHAR(110),A!H39=CHAR(110),A!I39=CHAR(110),A!J39=CHAR(110),A!K39=CHAR(110),A!L39=CHAR(110),A!M39=CHAR(110),A!N39=CHAR(110),A!P39=CHAR(110)),"neocenjen",IF(AND(E39&gt;=4.5,E39&lt;=5),"odlican",IF(AND(E39&lt;4.5,E39&gt;=3.5),"vrlodobar",IF(AND(E39&lt;3.5,E39&gt;=2.5),"dobar",IF(AND(E39&lt;2.5,E39&gt;=2),"dovoljan",IF(OR(F39=1,F39=2,F39=3,F39=4,F39=5,F39=6,F39=7,F39=8,F39=9,F39=10),"nedovoljan",IF(OR(E39&lt;1,E39&gt;5),"")))))))</f>
      </c>
      <c r="E39" s="331" t="str">
        <f>IF(COUNT(A!C39:A!P39)&lt;1," ",IF(F39&gt;0,"/\/",AVERAGE(A!C39:A!N39,A!P39)))</f>
        <v> </v>
      </c>
      <c r="F39" s="332">
        <f>IF(AND(SUMIF(A!C39:A!P39,"1")=0,B39=" "),"",SUMIF(A!C39:A!P39,"1")-SUMIF(A!O39,"1"))</f>
      </c>
      <c r="G39" s="333">
        <f>IF(AND(A!Q39=0,B39=" "),"",A!Q39)</f>
      </c>
      <c r="H39" s="333">
        <f>IF(AND(A!R39=0,B39=" "),"",A!R39)</f>
      </c>
      <c r="I39" s="333">
        <f t="shared" si="5"/>
      </c>
      <c r="J39" s="333">
        <f>IF(AND(A!S39=0,B39=" "),"",A!S39)</f>
      </c>
      <c r="K39" s="333">
        <f>IF(AND(A!T39=0,B39=" "),"",A!T39)</f>
      </c>
      <c r="L39" s="333">
        <f t="shared" si="6"/>
      </c>
      <c r="M39" s="333">
        <f t="shared" si="7"/>
      </c>
      <c r="N39" s="333">
        <f t="shared" si="3"/>
      </c>
      <c r="O39" s="333">
        <f t="shared" si="8"/>
      </c>
      <c r="P39" s="332">
        <f>IF(AND(SUMIF(A!C39:A!P39,"1")=0,B39=" "),"",SUMIF(A!C39:A!P39,"1"))</f>
      </c>
      <c r="Q39" s="325"/>
    </row>
    <row r="40" spans="1:17" ht="11.25" customHeight="1">
      <c r="A40" s="322">
        <f>A!A40</f>
        <v>38</v>
      </c>
      <c r="B40" s="327" t="str">
        <f>IF(A!B40=0," ",A!B40)</f>
        <v> </v>
      </c>
      <c r="C40" s="327"/>
      <c r="D40" s="328">
        <f>IF(OR(A!C40=CHAR(110),A!D40=CHAR(110),A!E40=CHAR(110),A!F40=CHAR(110),A!G40=CHAR(110),A!H40=CHAR(110),A!I40=CHAR(110),A!J40=CHAR(110),A!K40=CHAR(110),A!L40=CHAR(110),A!M40=CHAR(110),A!N40=CHAR(110),A!P40=CHAR(110)),"neocenjen",IF(AND(E40&gt;=4.5,E40&lt;=5),"odlican",IF(AND(E40&lt;4.5,E40&gt;=3.5),"vrlodobar",IF(AND(E40&lt;3.5,E40&gt;=2.5),"dobar",IF(AND(E40&lt;2.5,E40&gt;=2),"dovoljan",IF(OR(F40=1,F40=2,F40=3,F40=4,F40=5,F40=6,F40=7,F40=8,F40=9,F40=10),"nedovoljan",IF(OR(E40&lt;1,E40&gt;5),"")))))))</f>
      </c>
      <c r="E40" s="331" t="str">
        <f>IF(COUNT(A!C40:A!P40)&lt;1," ",IF(F40&gt;0,"/\/",AVERAGE(A!C40:A!N40,A!P40)))</f>
        <v> </v>
      </c>
      <c r="F40" s="332">
        <f>IF(AND(SUMIF(A!C40:A!P40,"1")=0,B40=" "),"",SUMIF(A!C40:A!P40,"1")-SUMIF(A!O40,"1"))</f>
      </c>
      <c r="G40" s="333">
        <f>IF(AND(A!Q40=0,B40=" "),"",A!Q40)</f>
      </c>
      <c r="H40" s="333">
        <f>IF(AND(A!R40=0,B40=" "),"",A!R40)</f>
      </c>
      <c r="I40" s="333">
        <f t="shared" si="5"/>
      </c>
      <c r="J40" s="333">
        <f>IF(AND(A!S40=0,B40=" "),"",A!S40)</f>
      </c>
      <c r="K40" s="333">
        <f>IF(AND(A!T40=0,B40=" "),"",A!T40)</f>
      </c>
      <c r="L40" s="333">
        <f t="shared" si="6"/>
      </c>
      <c r="M40" s="333">
        <f t="shared" si="7"/>
      </c>
      <c r="N40" s="333">
        <f t="shared" si="3"/>
      </c>
      <c r="O40" s="333">
        <f t="shared" si="8"/>
      </c>
      <c r="P40" s="332">
        <f>IF(AND(SUMIF(A!C40:A!P40,"1")=0,B40=" "),"",SUMIF(A!C40:A!P40,"1"))</f>
      </c>
      <c r="Q40" s="325"/>
    </row>
    <row r="41" spans="1:17" ht="11.25" customHeight="1">
      <c r="A41" s="322">
        <f>A!A41</f>
        <v>39</v>
      </c>
      <c r="B41" s="327" t="str">
        <f>IF(A!B41=0," ",A!B41)</f>
        <v> </v>
      </c>
      <c r="C41" s="327"/>
      <c r="D41" s="328">
        <f>IF(OR(A!C41=CHAR(110),A!D41=CHAR(110),A!E41=CHAR(110),A!F41=CHAR(110),A!G41=CHAR(110),A!H41=CHAR(110),A!I41=CHAR(110),A!J41=CHAR(110),A!K41=CHAR(110),A!L41=CHAR(110),A!M41=CHAR(110),A!N41=CHAR(110),A!P41=CHAR(110)),"neocenjen",IF(AND(E41&gt;=4.5,E41&lt;=5),"odlican",IF(AND(E41&lt;4.5,E41&gt;=3.5),"vrlodobar",IF(AND(E41&lt;3.5,E41&gt;=2.5),"dobar",IF(AND(E41&lt;2.5,E41&gt;=2),"dovoljan",IF(OR(F41=1,F41=2,F41=3,F41=4,F41=5,F41=6,F41=7,F41=8,F41=9,F41=10),"nedovoljan",IF(OR(E41&lt;1,E41&gt;5),"")))))))</f>
      </c>
      <c r="E41" s="331" t="str">
        <f>IF(COUNT(A!C41:A!P41)&lt;1," ",IF(F41&gt;0,"/\/",AVERAGE(A!C41:A!N41,A!P41)))</f>
        <v> </v>
      </c>
      <c r="F41" s="332">
        <f>IF(AND(SUMIF(A!C41:A!P41,"1")=0,B41=" "),"",SUMIF(A!C41:A!P41,"1")-SUMIF(A!O41,"1"))</f>
      </c>
      <c r="G41" s="333">
        <f>IF(AND(A!Q41=0,B41=" "),"",A!Q41)</f>
      </c>
      <c r="H41" s="333">
        <f>IF(AND(A!R41=0,B41=" "),"",A!R41)</f>
      </c>
      <c r="I41" s="333">
        <f t="shared" si="5"/>
      </c>
      <c r="J41" s="333">
        <f>IF(AND(A!S41=0,B41=" "),"",A!S41)</f>
      </c>
      <c r="K41" s="333">
        <f>IF(AND(A!T41=0,B41=" "),"",A!T41)</f>
      </c>
      <c r="L41" s="333">
        <f t="shared" si="6"/>
      </c>
      <c r="M41" s="333">
        <f t="shared" si="7"/>
      </c>
      <c r="N41" s="333">
        <f t="shared" si="3"/>
      </c>
      <c r="O41" s="333">
        <f t="shared" si="8"/>
      </c>
      <c r="P41" s="332">
        <f>IF(AND(SUMIF(A!C41:A!P41,"1")=0,B41=" "),"",SUMIF(A!C41:A!P41,"1"))</f>
      </c>
      <c r="Q41" s="325"/>
    </row>
    <row r="42" spans="1:17" ht="11.25" customHeight="1">
      <c r="A42" s="322">
        <f>A!A42</f>
        <v>40</v>
      </c>
      <c r="B42" s="327" t="str">
        <f>IF(A!B42=0," ",A!B42)</f>
        <v> </v>
      </c>
      <c r="C42" s="327"/>
      <c r="D42" s="328">
        <f>IF(OR(A!C42=CHAR(110),A!D42=CHAR(110),A!E42=CHAR(110),A!F42=CHAR(110),A!G42=CHAR(110),A!H42=CHAR(110),A!I42=CHAR(110),A!J42=CHAR(110),A!K42=CHAR(110),A!L42=CHAR(110),A!M42=CHAR(110),A!N42=CHAR(110),A!P42=CHAR(110)),"neocenjen",IF(AND(E42&gt;=4.5,E42&lt;=5),"odlican",IF(AND(E42&lt;4.5,E42&gt;=3.5),"vrlodobar",IF(AND(E42&lt;3.5,E42&gt;=2.5),"dobar",IF(AND(E42&lt;2.5,E42&gt;=2),"dovoljan",IF(OR(F42=1,F42=2,F42=3,F42=4,F42=5,F42=6,F42=7,F42=8,F42=9,F42=10),"nedovoljan",IF(OR(E42&lt;1,E42&gt;5),"")))))))</f>
      </c>
      <c r="E42" s="331" t="str">
        <f>IF(COUNT(A!C42:A!P42)&lt;1," ",IF(F42&gt;0,"/\/",AVERAGE(A!C42:A!N42,A!P42)))</f>
        <v> </v>
      </c>
      <c r="F42" s="332">
        <f>IF(AND(SUMIF(A!C42:A!P42,"1")=0,B42=" "),"",SUMIF(A!C42:A!P42,"1")-SUMIF(A!O42,"1"))</f>
      </c>
      <c r="G42" s="333">
        <f>IF(AND(A!Q42=0,B42=" "),"",A!Q42)</f>
      </c>
      <c r="H42" s="333">
        <f>IF(AND(A!R42=0,B42=" "),"",A!R42)</f>
      </c>
      <c r="I42" s="333">
        <f t="shared" si="5"/>
      </c>
      <c r="J42" s="333">
        <f>IF(AND(A!S42=0,B42=" "),"",A!S42)</f>
      </c>
      <c r="K42" s="333">
        <f>IF(AND(A!T42=0,B42=" "),"",A!T42)</f>
      </c>
      <c r="L42" s="333">
        <f t="shared" si="6"/>
      </c>
      <c r="M42" s="333">
        <f t="shared" si="7"/>
      </c>
      <c r="N42" s="333">
        <f t="shared" si="3"/>
      </c>
      <c r="O42" s="333">
        <f t="shared" si="8"/>
      </c>
      <c r="P42" s="332">
        <f>IF(AND(SUMIF(A!C42:A!P42,"1")=0,B42=" "),"",SUMIF(A!C42:A!P42,"1"))</f>
      </c>
      <c r="Q42" s="325"/>
    </row>
    <row r="43" spans="1:17" ht="12">
      <c r="A43" s="325"/>
      <c r="B43" s="325"/>
      <c r="C43" s="325"/>
      <c r="D43" s="325"/>
      <c r="E43" s="324"/>
      <c r="F43" s="322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</row>
  </sheetData>
  <mergeCells count="1">
    <mergeCell ref="B1:C1"/>
  </mergeCells>
  <printOptions gridLines="1"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3"/>
  <sheetViews>
    <sheetView zoomScale="90" zoomScaleNormal="90" zoomScaleSheetLayoutView="88" workbookViewId="0" topLeftCell="A1">
      <selection activeCell="A1" sqref="A1:IV65536"/>
    </sheetView>
  </sheetViews>
  <sheetFormatPr defaultColWidth="9.140625" defaultRowHeight="12.75"/>
  <cols>
    <col min="1" max="1" width="3.7109375" style="2" customWidth="1"/>
    <col min="2" max="2" width="16.00390625" style="2" customWidth="1"/>
    <col min="3" max="11" width="6.421875" style="2" customWidth="1"/>
    <col min="12" max="12" width="7.00390625" style="2" customWidth="1"/>
    <col min="13" max="16" width="6.421875" style="2" customWidth="1"/>
    <col min="17" max="18" width="7.00390625" style="2" customWidth="1"/>
    <col min="19" max="19" width="0" style="2" hidden="1" customWidth="1"/>
    <col min="20" max="20" width="3.7109375" style="2" customWidth="1"/>
    <col min="21" max="21" width="9.00390625" style="2" customWidth="1"/>
    <col min="22" max="22" width="9.28125" style="2" customWidth="1"/>
    <col min="23" max="16384" width="9.00390625" style="2" customWidth="1"/>
  </cols>
  <sheetData>
    <row r="1" spans="1:20" ht="12">
      <c r="A1" s="130"/>
      <c r="B1" s="130"/>
      <c r="C1" s="130"/>
      <c r="D1" s="130"/>
      <c r="E1" s="130"/>
      <c r="F1" s="130"/>
      <c r="G1" s="130"/>
      <c r="H1" s="160" t="s">
        <v>222</v>
      </c>
      <c r="I1" s="160"/>
      <c r="J1" s="160"/>
      <c r="K1" s="130"/>
      <c r="L1" s="130"/>
      <c r="M1" s="130"/>
      <c r="N1" s="130"/>
      <c r="O1" s="130"/>
      <c r="P1" s="130"/>
      <c r="Q1" s="130"/>
      <c r="R1" s="130"/>
      <c r="T1" s="130"/>
    </row>
    <row r="2" spans="1:20" ht="11.25" customHeight="1">
      <c r="A2" s="334"/>
      <c r="B2" s="335"/>
      <c r="C2" s="336" t="s">
        <v>223</v>
      </c>
      <c r="D2" s="336"/>
      <c r="E2" s="336"/>
      <c r="F2" s="337"/>
      <c r="G2" s="337"/>
      <c r="H2" s="337"/>
      <c r="I2" s="337"/>
      <c r="J2" s="337"/>
      <c r="K2" s="335"/>
      <c r="L2" s="335"/>
      <c r="M2" s="335"/>
      <c r="N2" s="335"/>
      <c r="O2" s="335"/>
      <c r="P2" s="335"/>
      <c r="Q2" s="335"/>
      <c r="R2" s="334"/>
      <c r="T2" s="130"/>
    </row>
    <row r="3" spans="1:20" ht="11.25" customHeight="1">
      <c r="A3" s="338"/>
      <c r="B3" s="127" t="s">
        <v>90</v>
      </c>
      <c r="C3" s="339" t="s">
        <v>9</v>
      </c>
      <c r="D3" s="340" t="s">
        <v>224</v>
      </c>
      <c r="E3" s="340" t="s">
        <v>11</v>
      </c>
      <c r="F3" s="340" t="s">
        <v>12</v>
      </c>
      <c r="G3" s="341" t="s">
        <v>13</v>
      </c>
      <c r="H3" s="342" t="s">
        <v>14</v>
      </c>
      <c r="I3" s="129" t="s">
        <v>91</v>
      </c>
      <c r="J3" s="129" t="s">
        <v>225</v>
      </c>
      <c r="K3" s="129" t="s">
        <v>226</v>
      </c>
      <c r="L3" s="343" t="s">
        <v>18</v>
      </c>
      <c r="M3" s="129" t="s">
        <v>92</v>
      </c>
      <c r="N3" s="129" t="s">
        <v>15</v>
      </c>
      <c r="O3" s="129" t="s">
        <v>21</v>
      </c>
      <c r="P3" s="129" t="s">
        <v>227</v>
      </c>
      <c r="Q3" s="344" t="s">
        <v>84</v>
      </c>
      <c r="R3" s="344"/>
      <c r="T3" s="130"/>
    </row>
    <row r="4" spans="1:20" s="1" customFormat="1" ht="11.25" customHeight="1">
      <c r="A4" s="338"/>
      <c r="B4" s="345" t="s">
        <v>228</v>
      </c>
      <c r="C4" s="346">
        <f>COUNTIF(A!C3:A!C42,"5")</f>
        <v>9</v>
      </c>
      <c r="D4" s="346">
        <f>COUNTIF(A!D3:A!D42,"5")</f>
        <v>7</v>
      </c>
      <c r="E4" s="346">
        <f>COUNTIF(A!E3:A!E42,"5")</f>
        <v>17</v>
      </c>
      <c r="F4" s="346">
        <f>COUNTIF(A!F3:A!F42,"5")</f>
        <v>17</v>
      </c>
      <c r="G4" s="346">
        <f>COUNTIF(A!G3:A!G42,"5")</f>
        <v>6</v>
      </c>
      <c r="H4" s="346">
        <f>COUNTIF(A!H3:A!H42,"5")</f>
        <v>15</v>
      </c>
      <c r="I4" s="346">
        <f>COUNTIF(A!I3:A!I42,"5")</f>
        <v>5</v>
      </c>
      <c r="J4" s="346">
        <f>COUNTIF(A!J3:A!J42,"5")</f>
        <v>6</v>
      </c>
      <c r="K4" s="346">
        <f>COUNTIF(A!K3:A!K42,"5")</f>
        <v>10</v>
      </c>
      <c r="L4" s="346">
        <f>COUNTIF(A!L3:A!L42,"5")</f>
        <v>6</v>
      </c>
      <c r="M4" s="346">
        <f>COUNTIF(A!M3:A!M42,"5")</f>
        <v>17</v>
      </c>
      <c r="N4" s="346">
        <f>COUNTIF(A!N3:A!N42,"5")</f>
        <v>19</v>
      </c>
      <c r="O4" s="346">
        <f>COUNTIF(A!O3:A!O42,"5")</f>
        <v>9</v>
      </c>
      <c r="P4" s="346">
        <f>COUNTIF(A!P3:A!P42,"5")</f>
        <v>5</v>
      </c>
      <c r="Q4" s="347">
        <f>SUM(C4:P4)</f>
        <v>148</v>
      </c>
      <c r="R4" s="347"/>
      <c r="T4" s="348"/>
    </row>
    <row r="5" spans="1:20" ht="11.25" customHeight="1">
      <c r="A5" s="130"/>
      <c r="B5" s="336" t="s">
        <v>229</v>
      </c>
      <c r="C5" s="346">
        <f>COUNTIF(A!C3:A!C42,"4")</f>
        <v>6</v>
      </c>
      <c r="D5" s="346">
        <f>COUNTIF(A!D3:A!D42,"4")</f>
        <v>6</v>
      </c>
      <c r="E5" s="346">
        <f>COUNTIF(A!E3:A!E42,"4")</f>
        <v>5</v>
      </c>
      <c r="F5" s="346">
        <f>COUNTIF(A!F3:A!F42,"4")</f>
        <v>4</v>
      </c>
      <c r="G5" s="346">
        <f>COUNTIF(A!G3:A!G42,"4")</f>
        <v>3</v>
      </c>
      <c r="H5" s="346">
        <f>COUNTIF(A!H3:A!H42,"4")</f>
        <v>3</v>
      </c>
      <c r="I5" s="346">
        <f>COUNTIF(A!I3:A!I42,"4")</f>
        <v>2</v>
      </c>
      <c r="J5" s="346">
        <f>COUNTIF(A!J3:A!J42,"4")</f>
        <v>2</v>
      </c>
      <c r="K5" s="346">
        <f>COUNTIF(A!K3:A!K42,"4")</f>
        <v>4</v>
      </c>
      <c r="L5" s="346">
        <f>COUNTIF(A!L3:A!L42,"4")</f>
        <v>2</v>
      </c>
      <c r="M5" s="346">
        <f>COUNTIF(A!M3:A!M42,"4")</f>
        <v>1</v>
      </c>
      <c r="N5" s="346">
        <f>COUNTIF(A!N3:A!N42,"4")</f>
        <v>3</v>
      </c>
      <c r="O5" s="346">
        <f>COUNTIF(A!O3:A!O42,"4")</f>
        <v>1</v>
      </c>
      <c r="P5" s="346">
        <f>COUNTIF(A!P3:A!P42,"4")</f>
        <v>2</v>
      </c>
      <c r="Q5" s="347">
        <f>SUM(C5:P5)</f>
        <v>44</v>
      </c>
      <c r="R5" s="347"/>
      <c r="T5" s="130"/>
    </row>
    <row r="6" spans="1:20" ht="11.25" customHeight="1">
      <c r="A6" s="130"/>
      <c r="B6" s="336" t="s">
        <v>230</v>
      </c>
      <c r="C6" s="346">
        <f>COUNTIF(A!C3:A!C42,"3")</f>
        <v>4</v>
      </c>
      <c r="D6" s="346">
        <f>COUNTIF(A!D3:A!D42,"3")</f>
        <v>2</v>
      </c>
      <c r="E6" s="346">
        <f>COUNTIF(A!E3:A!E42,"3")</f>
        <v>0</v>
      </c>
      <c r="F6" s="346">
        <f>COUNTIF(A!F3:A!F42,"3")</f>
        <v>1</v>
      </c>
      <c r="G6" s="346">
        <f>COUNTIF(A!G3:A!G42,"3")</f>
        <v>5</v>
      </c>
      <c r="H6" s="346">
        <f>COUNTIF(A!H3:A!H42,"3")</f>
        <v>4</v>
      </c>
      <c r="I6" s="346">
        <f>COUNTIF(A!I3:A!I42,"3")</f>
        <v>5</v>
      </c>
      <c r="J6" s="346">
        <f>COUNTIF(A!J3:A!J42,"3")</f>
        <v>3</v>
      </c>
      <c r="K6" s="346">
        <f>COUNTIF(A!K3:A!K42,"3")</f>
        <v>5</v>
      </c>
      <c r="L6" s="346">
        <f>COUNTIF(A!L3:A!L42,"3")</f>
        <v>7</v>
      </c>
      <c r="M6" s="346">
        <f>COUNTIF(A!M3:A!M42,"3")</f>
        <v>4</v>
      </c>
      <c r="N6" s="346">
        <f>COUNTIF(A!N3:A!N42,"3")</f>
        <v>0</v>
      </c>
      <c r="O6" s="346">
        <f>COUNTIF(A!O3:A!O42,"3")</f>
        <v>1</v>
      </c>
      <c r="P6" s="346">
        <f>COUNTIF(A!P3:A!P42,"3")</f>
        <v>1</v>
      </c>
      <c r="Q6" s="347">
        <f>SUM(C6:P6)</f>
        <v>42</v>
      </c>
      <c r="R6" s="347"/>
      <c r="T6" s="130"/>
    </row>
    <row r="7" spans="1:20" ht="11.25" customHeight="1">
      <c r="A7" s="130"/>
      <c r="B7" s="336" t="s">
        <v>231</v>
      </c>
      <c r="C7" s="346">
        <f>COUNTIF(A!C3:A!C42,"2")</f>
        <v>2</v>
      </c>
      <c r="D7" s="346">
        <f>COUNTIF(A!D3:A!D42,"2")</f>
        <v>5</v>
      </c>
      <c r="E7" s="346">
        <f>COUNTIF(A!E3:A!E42,"2")</f>
        <v>0</v>
      </c>
      <c r="F7" s="346">
        <f>COUNTIF(A!F3:A!F42,"2")</f>
        <v>0</v>
      </c>
      <c r="G7" s="346">
        <f>COUNTIF(A!G3:A!G42,"2")</f>
        <v>7</v>
      </c>
      <c r="H7" s="346">
        <f>COUNTIF(A!H3:A!H42,"2")</f>
        <v>0</v>
      </c>
      <c r="I7" s="346">
        <f>COUNTIF(A!I3:A!I42,"2")</f>
        <v>4</v>
      </c>
      <c r="J7" s="346">
        <f>COUNTIF(A!J3:A!J42,"2")</f>
        <v>5</v>
      </c>
      <c r="K7" s="346">
        <f>COUNTIF(A!K3:A!K42,"2")</f>
        <v>3</v>
      </c>
      <c r="L7" s="346">
        <f>COUNTIF(A!L3:A!L42,"2")</f>
        <v>7</v>
      </c>
      <c r="M7" s="346">
        <f>COUNTIF(A!M3:A!M42,"2")</f>
        <v>0</v>
      </c>
      <c r="N7" s="346">
        <f>COUNTIF(A!N3:A!N42,"2")</f>
        <v>0</v>
      </c>
      <c r="O7" s="346">
        <f>COUNTIF(A!O3:A!O42,"2")</f>
        <v>1</v>
      </c>
      <c r="P7" s="346">
        <f>COUNTIF(A!P3:A!P42,"2")</f>
        <v>1</v>
      </c>
      <c r="Q7" s="347">
        <f>SUM(C7:P7)</f>
        <v>35</v>
      </c>
      <c r="R7" s="347"/>
      <c r="T7" s="130"/>
    </row>
    <row r="8" spans="1:21" ht="11.25" customHeight="1">
      <c r="A8" s="130"/>
      <c r="B8" s="336" t="s">
        <v>232</v>
      </c>
      <c r="C8" s="346">
        <f>COUNTIF(A!C3:A!C42,"1")</f>
        <v>1</v>
      </c>
      <c r="D8" s="346">
        <f>SUM(IF(A!D3=1,1)+IF(A!D4=1,1)+IF(A!D5=1,1)+IF(A!D6=1,1)+IF(A!D7=1,1)+IF(A!D8=1,1)+IF(A!D9=1,1)+IF(A!D10=1,1)+IF(A!D11=1,1)+IF(A!D12=1,1)+IF(A!D13=1,1)+IF(A!D14=1,1)+IF(A!D15=1,1)+IF(A!D16=1,1)+IF(A!D17=1,1)+IF(A!D18=1,1)+IF(A!D19=1,1)+IF(A!D20=1,1)+IF(A!D21=1,1)+IF(A!D22=1,1)+IF(A!D23=1,1)+IF(A!D24=1,1)+IF(A!D25=1,1)+IF(A!D26=1,1)+IF(A!D27=1,1)+IF(A!D28=1,1)+IF(A!D29=1,1)+IF(A!D30=1,1)+IF(A!D31=1,1)+IF(A!D32=1,1)+IF(A!D33=1,1)+IF(A!D34=1,1)+IF(A!D35=1,1)+IF(A!D36=1,1)+IF(A!D37=1,1)+IF(A!D38=1,1)+IF(A!D39=1,1)+IF(A!D40=1,1)+IF(A!D41=1,1)+IF(A!D42=1,1))</f>
        <v>2</v>
      </c>
      <c r="E8" s="346">
        <f>SUM(IF(A!E3=1,1)+IF(A!E4=1,1)+IF(A!E5=1,1)+IF(A!E6=1,1)+IF(A!E7=1,1)+IF(A!E8=1,1)+IF(A!E9=1,1)+IF(A!E10=1,1)+IF(A!E11=1,1)+IF(A!E12=1,1)+IF(A!E13=1,1)+IF(A!E14=1,1)+IF(A!E15=1,1)+IF(A!E16=1,1)+IF(A!E17=1,1)+IF(A!E18=1,1)+IF(A!E19=1,1)+IF(A!E20=1,1)+IF(A!E21=1,1)+IF(A!E22=1,1)+IF(A!E23=1,1)+IF(A!E24=1,1)+IF(A!E25=1,1)+IF(A!E26=1,1)+IF(A!E27=1,1)+IF(A!E28=1,1)+IF(A!E29=1,1)+IF(A!E30=1,1)+IF(A!E31=1,1)+IF(A!E32=1,1)+IF(A!E33=1,1)+IF(A!E34=1,1)+IF(A!E35=1,1)+IF(A!E36=1,1)+IF(A!E37=1,1)+IF(A!E38=1,1)+IF(A!E39=1,1)+IF(A!E40=1,1)+IF(A!E41=1,1)+IF(A!E42=1,1))</f>
        <v>0</v>
      </c>
      <c r="F8" s="346">
        <f>SUM(IF(A!F3=1,1)+IF(A!F4=1,1)+IF(A!F5=1,1)+IF(A!F6=1,1)+IF(A!F7=1,1)+IF(A!F8=1,1)+IF(A!F9=1,1)+IF(A!F10=1,1)+IF(A!F11=1,1)+IF(A!F12=1,1)+IF(A!F13=1,1)+IF(A!F14=1,1)+IF(A!F15=1,1)+IF(A!F16=1,1)+IF(A!F17=1,1)+IF(A!F18=1,1)+IF(A!F19=1,1)+IF(A!F20=1,1)+IF(A!F21=1,1)+IF(A!F22=1,1)+IF(A!F23=1,1)+IF(A!F24=1,1)+IF(A!F25=1,1)+IF(A!F26=1,1)+IF(A!F27=1,1)+IF(A!F28=1,1)+IF(A!F29=1,1)+IF(A!F30=1,1)+IF(A!F31=1,1)+IF(A!F32=1,1)+IF(A!F33=1,1)+IF(A!F34=1,1)+IF(A!F35=1,1)+IF(A!F36=1,1)+IF(A!F37=1,1)+IF(A!F38=1,1)+IF(A!F39=1,1)+IF(A!F40=1,1)+IF(A!F41=1,1)+IF(A!F42=1,1))</f>
        <v>0</v>
      </c>
      <c r="G8" s="346">
        <f>SUM(IF(A!G3=1,1)+IF(A!G4=1,1)+IF(A!G5=1,1)+IF(A!G6=1,1)+IF(A!G7=1,1)+IF(A!G8=1,1)+IF(A!G9=1,1)+IF(A!G10=1,1)+IF(A!G11=1,1)+IF(A!G12=1,1)+IF(A!G13=1,1)+IF(A!G14=1,1)+IF(A!G15=1,1)+IF(A!G16=1,1)+IF(A!G17=1,1)+IF(A!G18=1,1)+IF(A!G19=1,1)+IF(A!G20=1,1)+IF(A!G21=1,1)+IF(A!G22=1,1)+IF(A!G23=1,1)+IF(A!G24=1,1)+IF(A!G25=1,1)+IF(A!G26=1,1)+IF(A!G27=1,1)+IF(A!G28=1,1)+IF(A!G29=1,1)+IF(A!G30=1,1)+IF(A!G31=1,1)+IF(A!G32=1,1)+IF(A!G33=1,1)+IF(A!G34=1,1)+IF(A!G35=1,1)+IF(A!G36=1,1)+IF(A!G37=1,1)+IF(A!G38=1,1)+IF(A!G39=1,1)+IF(A!G40=1,1)+IF(A!G41=1,1)+IF(A!G42=1,1))</f>
        <v>1</v>
      </c>
      <c r="H8" s="346">
        <f>SUM(IF(A!H3=1,1)+IF(A!H4=1,1)+IF(A!H5=1,1)+IF(A!H6=1,1)+IF(A!H7=1,1)+IF(A!H8=1,1)+IF(A!H9=1,1)+IF(A!H10=1,1)+IF(A!H11=1,1)+IF(A!H12=1,1)+IF(A!H13=1,1)+IF(A!H14=1,1)+IF(A!H15=1,1)+IF(A!H16=1,1)+IF(A!H17=1,1)+IF(A!H18=1,1)+IF(A!H19=1,1)+IF(A!H20=1,1)+IF(A!H21=1,1)+IF(A!H22=1,1)+IF(A!H23=1,1)+IF(A!H24=1,1)+IF(A!H25=1,1)+IF(A!H26=1,1)+IF(A!H27=1,1)+IF(A!H28=1,1)+IF(A!H29=1,1)+IF(A!H30=1,1)+IF(A!H31=1,1)+IF(A!H32=1,1)+IF(A!H33=1,1)+IF(A!H34=1,1)+IF(A!H35=1,1)+IF(A!H36=1,1)+IF(A!H37=1,1)+IF(A!H38=1,1)+IF(A!H39=1,1)+IF(A!H40=1,1)+IF(A!H41=1,1)+IF(A!H42=1,1))</f>
        <v>0</v>
      </c>
      <c r="I8" s="346">
        <f>SUM(IF(A!I3=1,1)+IF(A!I4=1,1)+IF(A!I5=1,1)+IF(A!I6=1,1)+IF(A!I7=1,1)+IF(A!I8=1,1)+IF(A!I9=1,1)+IF(A!I10=1,1)+IF(A!I11=1,1)+IF(A!I12=1,1)+IF(A!I13=1,1)+IF(A!I14=1,1)+IF(A!I15=1,1)+IF(A!I16=1,1)+IF(A!I17=1,1)+IF(A!I18=1,1)+IF(A!I19=1,1)+IF(A!I20=1,1)+IF(A!I21=1,1)+IF(A!I22=1,1)+IF(A!I23=1,1)+IF(A!I24=1,1)+IF(A!I25=1,1)+IF(A!I26=1,1)+IF(A!I27=1,1)+IF(A!I28=1,1)+IF(A!I29=1,1)+IF(A!I30=1,1)+IF(A!I31=1,1)+IF(A!I32=1,1)+IF(A!I33=1,1)+IF(A!I34=1,1)+IF(A!I35=1,1)+IF(A!I36=1,1)+IF(A!I37=1,1)+IF(A!I38=1,1)+IF(A!I39=1,1)+IF(A!I40=1,1)+IF(A!I41=1,1)+IF(A!I42=1,1))</f>
        <v>6</v>
      </c>
      <c r="J8" s="346">
        <f>SUM(IF(A!J3=1,1)+IF(A!J4=1,1)+IF(A!J5=1,1)+IF(A!J6=1,1)+IF(A!J7=1,1)+IF(A!J8=1,1)+IF(A!J9=1,1)+IF(A!J10=1,1)+IF(A!J11=1,1)+IF(A!J12=1,1)+IF(A!J13=1,1)+IF(A!J14=1,1)+IF(A!J15=1,1)+IF(A!J16=1,1)+IF(A!J17=1,1)+IF(A!J18=1,1)+IF(A!J19=1,1)+IF(A!J20=1,1)+IF(A!J21=1,1)+IF(A!J22=1,1)+IF(A!J23=1,1)+IF(A!J24=1,1)+IF(A!J25=1,1)+IF(A!J26=1,1)+IF(A!J27=1,1)+IF(A!J28=1,1)+IF(A!J29=1,1)+IF(A!J30=1,1)+IF(A!J31=1,1)+IF(A!J32=1,1)+IF(A!J33=1,1)+IF(A!J34=1,1)+IF(A!J35=1,1)+IF(A!J36=1,1)+IF(A!J37=1,1)+IF(A!J38=1,1)+IF(A!J39=1,1)+IF(A!J40=1,1)+IF(A!J41=1,1)+IF(A!J42=1,1))</f>
        <v>6</v>
      </c>
      <c r="K8" s="346">
        <f>SUM(IF(A!K3=1,1)+IF(A!K4=1,1)+IF(A!K5=1,1)+IF(A!K6=1,1)+IF(A!K7=1,1)+IF(A!K8=1,1)+IF(A!K9=1,1)+IF(A!K10=1,1)+IF(A!K11=1,1)+IF(A!K12=1,1)+IF(A!K13=1,1)+IF(A!K14=1,1)+IF(A!K15=1,1)+IF(A!K16=1,1)+IF(A!K17=1,1)+IF(A!K18=1,1)+IF(A!K19=1,1)+IF(A!K20=1,1)+IF(A!K21=1,1)+IF(A!K22=1,1)+IF(A!K23=1,1)+IF(A!K24=1,1)+IF(A!K25=1,1)+IF(A!K26=1,1)+IF(A!K27=1,1)+IF(A!K28=1,1)+IF(A!K29=1,1)+IF(A!K30=1,1)+IF(A!K31=1,1)+IF(A!K32=1,1)+IF(A!K33=1,1)+IF(A!K34=1,1)+IF(A!K35=1,1)+IF(A!K36=1,1)+IF(A!K37=1,1)+IF(A!K38=1,1)+IF(A!K39=1,1)+IF(A!K40=1,1)+IF(A!K41=1,1)+IF(A!K42=1,1))</f>
        <v>0</v>
      </c>
      <c r="L8" s="346">
        <f>SUM(IF(A!L3=1,1)+IF(A!L4=1,1)+IF(A!L5=1,1)+IF(A!L6=1,1)+IF(A!L7=1,1)+IF(A!L8=1,1)+IF(A!L9=1,1)+IF(A!L10=1,1)+IF(A!L11=1,1)+IF(A!L12=1,1)+IF(A!L13=1,1)+IF(A!L14=1,1)+IF(A!L15=1,1)+IF(A!L16=1,1)+IF(A!L17=1,1)+IF(A!L18=1,1)+IF(A!L19=1,1)+IF(A!L20=1,1)+IF(A!L21=1,1)+IF(A!L22=1,1)+IF(A!L23=1,1)+IF(A!L24=1,1)+IF(A!L25=1,1)+IF(A!L26=1,1)+IF(A!L27=1,1)+IF(A!L28=1,1)+IF(A!L29=1,1)+IF(A!L30=1,1)+IF(A!L31=1,1)+IF(A!L32=1,1)+IF(A!L33=1,1)+IF(A!L34=1,1)+IF(A!L35=1,1)+IF(A!L36=1,1)+IF(A!L37=1,1)+IF(A!L38=1,1)+IF(A!L39=1,1)+IF(A!L40=1,1)+IF(A!L41=1,1)+IF(A!L42=1,1))</f>
        <v>0</v>
      </c>
      <c r="M8" s="346">
        <f>SUM(IF(A!M3=1,1)+IF(A!M4=1,1)+IF(A!M5=1,1)+IF(A!M6=1,1)+IF(A!M7=1,1)+IF(A!M8=1,1)+IF(A!M9=1,1)+IF(A!M10=1,1)+IF(A!M11=1,1)+IF(A!M12=1,1)+IF(A!M13=1,1)+IF(A!M14=1,1)+IF(A!M15=1,1)+IF(A!M16=1,1)+IF(A!M17=1,1)+IF(A!M18=1,1)+IF(A!M19=1,1)+IF(A!M20=1,1)+IF(A!M21=1,1)+IF(A!M22=1,1)+IF(A!M23=1,1)+IF(A!M24=1,1)+IF(A!M25=1,1)+IF(A!M26=1,1)+IF(A!M27=1,1)+IF(A!M28=1,1)+IF(A!M29=1,1)+IF(A!M30=1,1)+IF(A!M31=1,1)+IF(A!M32=1,1)+IF(A!M33=1,1)+IF(A!M34=1,1)+IF(A!M35=1,1)+IF(A!M36=1,1)+IF(A!M37=1,1)+IF(A!M38=1,1)+IF(A!M39=1,1)+IF(A!M40=1,1)+IF(A!M41=1,1)+IF(A!M42=1,1))</f>
        <v>0</v>
      </c>
      <c r="N8" s="346">
        <f>SUM(IF(A!N3=1,1)+IF(A!N4=1,1)+IF(A!N5=1,1)+IF(A!N6=1,1)+IF(A!N7=1,1)+IF(A!N8=1,1)+IF(A!N9=1,1)+IF(A!N10=1,1)+IF(A!N11=1,1)+IF(A!N12=1,1)+IF(A!N13=1,1)+IF(A!N14=1,1)+IF(A!N15=1,1)+IF(A!N16=1,1)+IF(A!N17=1,1)+IF(A!N18=1,1)+IF(A!N19=1,1)+IF(A!N20=1,1)+IF(A!N21=1,1)+IF(A!N22=1,1)+IF(A!N23=1,1)+IF(A!N24=1,1)+IF(A!N25=1,1)+IF(A!N26=1,1)+IF(A!N27=1,1)+IF(A!N28=1,1)+IF(A!N29=1,1)+IF(A!N30=1,1)+IF(A!N31=1,1)+IF(A!N32=1,1)+IF(A!N33=1,1)+IF(A!N34=1,1)+IF(A!N35=1,1)+IF(A!N36=1,1)+IF(A!N37=1,1)+IF(A!N38=1,1)+IF(A!N39=1,1)+IF(A!N40=1,1)+IF(A!N41=1,1)+IF(A!N42=1,1))</f>
        <v>0</v>
      </c>
      <c r="O8" s="346">
        <f>COUNTIF(A!O3:A!O42,"1")</f>
        <v>0</v>
      </c>
      <c r="P8" s="346">
        <f>SUM(IF(A!P3=1,1)+IF(A!P4=1,1)+IF(A!P5=1,1)+IF(A!P6=1,1)+IF(A!P7=1,1)+IF(A!P8=1,1)+IF(A!P9=1,1)+IF(A!P10=1,1)+IF(A!P11=1,1)+IF(A!P12=1,1)+IF(A!P13=1,1)+IF(A!P14=1,1)+IF(A!P15=1,1)+IF(A!P16=1,1)+IF(A!P17=1,1)+IF(A!P18=1,1)+IF(A!P19=1,1)+IF(A!P20=1,1)+IF(A!P21=1,1)+IF(A!P22=1,1)+IF(A!P23=1,1)+IF(A!P24=1,1)+IF(A!P25=1,1)+IF(A!P26=1,1)+IF(A!P27=1,1)+IF(A!P28=1,1)+IF(A!P29=1,1)+IF(A!P30=1,1)+IF(A!P31=1,1)+IF(A!P32=1,1)+IF(A!P33=1,1)+IF(A!P34=1,1)+IF(A!P35=1,1)+IF(A!P36=1,1)+IF(A!P37=1,1)+IF(A!P38=1,1)+IF(A!P39=1,1)+IF(A!P40=1,1)+IF(A!P41=1,1)+IF(A!P42=1,1))</f>
        <v>2</v>
      </c>
      <c r="Q8" s="347">
        <f>SUM(C8:P8)</f>
        <v>18</v>
      </c>
      <c r="R8" s="347"/>
      <c r="T8" s="130"/>
      <c r="U8" s="2" t="s">
        <v>233</v>
      </c>
    </row>
    <row r="9" spans="1:21" ht="11.25" customHeight="1">
      <c r="A9" s="130"/>
      <c r="B9" s="141" t="s">
        <v>93</v>
      </c>
      <c r="C9" s="349">
        <f>IF(SUM(A!C3:A!C42)=0,"N",AVERAGE(A!C3:A!C42))</f>
        <v>3.909090909090909</v>
      </c>
      <c r="D9" s="349">
        <f>IF(SUM(A!D3:A!D42)=0,"N",AVERAGE(A!D3:A!D42))</f>
        <v>3.5</v>
      </c>
      <c r="E9" s="349">
        <f>IF(SUM(A!E3:A!E42)=0,"N",AVERAGE(A!E3:A!E42))</f>
        <v>4.7727272727272725</v>
      </c>
      <c r="F9" s="349">
        <f>IF(SUM(A!F3:A!F42)=0,"N",AVERAGE(A!F3:A!F42))</f>
        <v>4.7272727272727275</v>
      </c>
      <c r="G9" s="349">
        <f>IF(SUM(A!G3:A!G42)=0,"N",AVERAGE(A!G3:A!G42))</f>
        <v>3.272727272727273</v>
      </c>
      <c r="H9" s="349">
        <f>IF(SUM(A!H3:A!H42)=0,"N",AVERAGE(A!H3:A!H42))</f>
        <v>4.5</v>
      </c>
      <c r="I9" s="349">
        <f>IF(SUM(A!I3:A!I42)=0,"N",AVERAGE(A!I3:A!I42))</f>
        <v>2.8181818181818183</v>
      </c>
      <c r="J9" s="349">
        <f>IF(SUM(A!J3:A!J42)=0,"N",AVERAGE(A!J3:A!J42))</f>
        <v>2.8636363636363638</v>
      </c>
      <c r="K9" s="349">
        <f>IF(SUM(A!K3:A!K42)=0,"N",AVERAGE(A!K3:A!K42))</f>
        <v>3.9545454545454546</v>
      </c>
      <c r="L9" s="349">
        <f>IF(SUM(A!L3:A!L42)=0,"N",AVERAGE(A!L3:A!L42))</f>
        <v>3.3181818181818183</v>
      </c>
      <c r="M9" s="349">
        <f>IF(SUM(A!M3:A!M42)=0,"N",AVERAGE(A!M3:A!M42))</f>
        <v>4.590909090909091</v>
      </c>
      <c r="N9" s="349">
        <f>IF(SUM(A!N3:A!N42)=0,"N",AVERAGE(A!N3:A!N42))</f>
        <v>4.863636363636363</v>
      </c>
      <c r="O9" s="349">
        <f>IF(SUM(A!O3:A!O42)=0,"N",AVERAGE(A!O3:A!O42))</f>
        <v>4.5</v>
      </c>
      <c r="P9" s="349">
        <f>IF(SUM(A!P3:A!P42)=0,"N",AVERAGE(A!P3:A!P42))</f>
        <v>3.6363636363636362</v>
      </c>
      <c r="Q9" s="350">
        <f>AVERAGE(C9:N9,P9)</f>
        <v>3.902097902097902</v>
      </c>
      <c r="R9" s="350"/>
      <c r="T9" s="130"/>
      <c r="U9" s="351">
        <f>AVERAGE(C9:P9)</f>
        <v>3.9448051948051948</v>
      </c>
    </row>
    <row r="10" spans="1:23" ht="11.25" customHeight="1">
      <c r="A10" s="130"/>
      <c r="B10" s="352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  <c r="T10" s="130"/>
      <c r="U10" s="321" t="s">
        <v>234</v>
      </c>
      <c r="V10" s="321" t="s">
        <v>235</v>
      </c>
      <c r="W10" s="321"/>
    </row>
    <row r="11" spans="1:23" ht="11.25" customHeight="1">
      <c r="A11" s="130"/>
      <c r="B11" s="127"/>
      <c r="C11" s="118" t="s">
        <v>236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9"/>
      <c r="O11" s="129"/>
      <c r="P11" s="129"/>
      <c r="Q11" s="130"/>
      <c r="R11" s="130"/>
      <c r="T11" s="130"/>
      <c r="U11" s="355">
        <f>((Q4-O4)*5+(Q5-O5)*4+(Q6-O6)*3+(Q7-O7)*2+(Q8-O8)*1)/((SUM(Q4:Q8)-SUM(O4:O8)))</f>
        <v>3.9127272727272726</v>
      </c>
      <c r="V11" s="355">
        <f>((Q4)*5+(Q5)*4+(Q6)*3+(Q7)*2+(Q8)*1)/SUM(Q4:Q8)</f>
        <v>3.937282229965157</v>
      </c>
      <c r="W11" s="321"/>
    </row>
    <row r="12" spans="1:20" ht="12" customHeight="1">
      <c r="A12" s="130"/>
      <c r="B12" s="356" t="s">
        <v>237</v>
      </c>
      <c r="C12" s="131">
        <f>IF(COUNTIF(B!D3:B!D42,"odlican")=0,"Nema",COUNTIF(B!D3:B!D42,"odlican"))</f>
        <v>6</v>
      </c>
      <c r="D12" s="357"/>
      <c r="E12" s="357"/>
      <c r="F12" s="146"/>
      <c r="G12" s="358" t="s">
        <v>238</v>
      </c>
      <c r="H12" s="358"/>
      <c r="I12" s="358"/>
      <c r="J12" s="358"/>
      <c r="K12" s="359">
        <f>IF(C12="Nema","Nema",C12*10000/(SUM(C12:C17)*10000+0.5))</f>
        <v>0.2727266528939707</v>
      </c>
      <c r="L12" s="359"/>
      <c r="M12" s="118" t="s">
        <v>96</v>
      </c>
      <c r="N12" s="118"/>
      <c r="O12" s="118"/>
      <c r="P12" s="118"/>
      <c r="Q12" s="130"/>
      <c r="R12" s="128" t="s">
        <v>239</v>
      </c>
      <c r="S12" s="130"/>
      <c r="T12" s="130"/>
    </row>
    <row r="13" spans="1:20" ht="11.25" customHeight="1">
      <c r="A13" s="130"/>
      <c r="B13" s="356" t="s">
        <v>240</v>
      </c>
      <c r="C13" s="131">
        <f>IF(COUNTIF(B!D3:B!D42,"vrlodobar")=0,"Nema",COUNTIF(B!D3:B!D42,"vrlodobar"))</f>
        <v>8</v>
      </c>
      <c r="D13" s="357"/>
      <c r="E13" s="357"/>
      <c r="F13" s="360"/>
      <c r="G13" s="358" t="s">
        <v>241</v>
      </c>
      <c r="H13" s="358"/>
      <c r="I13" s="358"/>
      <c r="J13" s="361"/>
      <c r="K13" s="359">
        <f>IF(C13="Nema","Nema",C13*10000/(SUM(C12:C17)*10000+0.5))</f>
        <v>0.3636355371919609</v>
      </c>
      <c r="L13" s="359"/>
      <c r="M13" s="118" t="s">
        <v>98</v>
      </c>
      <c r="N13" s="362"/>
      <c r="O13" s="362"/>
      <c r="P13" s="137"/>
      <c r="Q13" s="359">
        <f>IF(C16="Nema","Nema",C8*10000/(SUM(C4:P8)*10000+0.5))</f>
        <v>0.0034843199504669075</v>
      </c>
      <c r="R13" s="359"/>
      <c r="S13" s="166">
        <f>E!U5</f>
        <v>0</v>
      </c>
      <c r="T13" s="130"/>
    </row>
    <row r="14" spans="1:20" ht="11.25" customHeight="1">
      <c r="A14" s="130"/>
      <c r="B14" s="356" t="s">
        <v>242</v>
      </c>
      <c r="C14" s="131" t="str">
        <f>IF(COUNTIF(B!D3:B!D42,"dobar")=0,"Nema",COUNTIF(B!D3:B!D42,"dobar"))</f>
        <v>Nema</v>
      </c>
      <c r="D14" s="357"/>
      <c r="E14" s="357"/>
      <c r="F14" s="360"/>
      <c r="G14" s="358" t="s">
        <v>243</v>
      </c>
      <c r="H14" s="358"/>
      <c r="I14" s="358"/>
      <c r="J14" s="361"/>
      <c r="K14" s="359" t="str">
        <f>IF(C14="Nema","Nema",C14*10000/(SUM(C12:C17)*10000+0.5))</f>
        <v>Nema</v>
      </c>
      <c r="L14" s="359"/>
      <c r="M14" s="118" t="s">
        <v>244</v>
      </c>
      <c r="N14" s="118"/>
      <c r="O14" s="118"/>
      <c r="P14" s="137"/>
      <c r="Q14" s="359">
        <f>IF(C16="Nema","Nema",D8*10000/(SUM(C4:P8)*10000+0.5))</f>
        <v>0.006968639900933815</v>
      </c>
      <c r="R14" s="359"/>
      <c r="S14" s="166">
        <f>E!U6</f>
        <v>0</v>
      </c>
      <c r="T14" s="130"/>
    </row>
    <row r="15" spans="1:20" ht="11.25" customHeight="1">
      <c r="A15" s="130"/>
      <c r="B15" s="356" t="s">
        <v>245</v>
      </c>
      <c r="C15" s="131" t="str">
        <f>IF(COUNTIF(B!D3:B!D42,"dovoljan")=0,"Nema",COUNTIF(B!D3:B!D42,"dovoljan"))</f>
        <v>Nema</v>
      </c>
      <c r="D15" s="357"/>
      <c r="E15" s="357"/>
      <c r="F15" s="360"/>
      <c r="G15" s="358" t="s">
        <v>246</v>
      </c>
      <c r="H15" s="358"/>
      <c r="I15" s="358"/>
      <c r="J15" s="361"/>
      <c r="K15" s="359" t="str">
        <f>IF(C15="Nema","Nema",C15*10000/(SUM(C12:C17)*10000+0.5))</f>
        <v>Nema</v>
      </c>
      <c r="L15" s="359"/>
      <c r="M15" s="118" t="s">
        <v>100</v>
      </c>
      <c r="N15" s="118"/>
      <c r="O15" s="118"/>
      <c r="P15" s="137"/>
      <c r="Q15" s="359">
        <f>IF(C16="Nema","Nema",E8*10000/(SUM(C4:P8)*10000+0.5))</f>
        <v>0</v>
      </c>
      <c r="R15" s="359"/>
      <c r="S15" s="166">
        <f>E!U7</f>
        <v>0</v>
      </c>
      <c r="T15" s="130"/>
    </row>
    <row r="16" spans="1:20" ht="11.25" customHeight="1">
      <c r="A16" s="130"/>
      <c r="B16" s="356" t="s">
        <v>247</v>
      </c>
      <c r="C16" s="131">
        <f>IF(COUNTIF(B!D3:B!D42,"nedovoljan")=0,"Nema",COUNTIF(B!D3:B!D42,"nedovoljan"))</f>
        <v>8</v>
      </c>
      <c r="D16" s="357"/>
      <c r="E16" s="357"/>
      <c r="F16" s="363"/>
      <c r="G16" s="358" t="s">
        <v>248</v>
      </c>
      <c r="H16" s="358"/>
      <c r="I16" s="358"/>
      <c r="J16" s="361"/>
      <c r="K16" s="359">
        <f>IF(C16="Nema","Nema",C16*10000/(SUM(C12:C17)*10000+0.5))</f>
        <v>0.3636355371919609</v>
      </c>
      <c r="L16" s="359"/>
      <c r="M16" s="118" t="s">
        <v>101</v>
      </c>
      <c r="N16" s="118"/>
      <c r="O16" s="118"/>
      <c r="P16" s="137"/>
      <c r="Q16" s="359">
        <f>IF(C16="Nema","Nema",F8*10000/(SUM(C4:P8)*10000+0.5))</f>
        <v>0</v>
      </c>
      <c r="R16" s="359"/>
      <c r="S16" s="166">
        <f>E!U8</f>
        <v>0</v>
      </c>
      <c r="T16" s="130"/>
    </row>
    <row r="17" spans="1:20" ht="11.25" customHeight="1">
      <c r="A17" s="130"/>
      <c r="B17" s="356" t="s">
        <v>249</v>
      </c>
      <c r="C17" s="131" t="str">
        <f>IF(COUNTIF(B!D3:B!D42,"neocenjen")=0,"Nema",COUNTIF(B!D3:B!D42,"neocenjen"))</f>
        <v>Nema</v>
      </c>
      <c r="D17" s="357"/>
      <c r="E17" s="357"/>
      <c r="F17" s="363"/>
      <c r="G17" s="358" t="s">
        <v>250</v>
      </c>
      <c r="H17" s="358"/>
      <c r="I17" s="358"/>
      <c r="J17" s="361"/>
      <c r="K17" s="359" t="str">
        <f>IF(C17="Nema","Nema",C17*10000/(SUM(C12:C17)*10000+0.5))</f>
        <v>Nema</v>
      </c>
      <c r="L17" s="359"/>
      <c r="M17" s="364" t="s">
        <v>13</v>
      </c>
      <c r="N17" s="113"/>
      <c r="O17" s="113"/>
      <c r="P17" s="137"/>
      <c r="Q17" s="359">
        <f>IF(C16="Nema","Nema",G8*10000/(SUM(C4:P8)*10000+0.5))</f>
        <v>0.0034843199504669075</v>
      </c>
      <c r="R17" s="359"/>
      <c r="S17" s="166">
        <f>E!U9</f>
        <v>0</v>
      </c>
      <c r="T17" s="130"/>
    </row>
    <row r="18" spans="1:20" ht="11.25" customHeight="1">
      <c r="A18" s="130"/>
      <c r="B18" s="336" t="s">
        <v>251</v>
      </c>
      <c r="C18" s="131">
        <f>SUM(C12:C15)</f>
        <v>14</v>
      </c>
      <c r="D18" s="172"/>
      <c r="E18" s="172"/>
      <c r="F18" s="363"/>
      <c r="G18" s="336" t="s">
        <v>252</v>
      </c>
      <c r="H18" s="337"/>
      <c r="I18" s="337"/>
      <c r="J18" s="361"/>
      <c r="K18" s="359">
        <f>SUM(K12:K15)</f>
        <v>0.6363621900859315</v>
      </c>
      <c r="L18" s="359"/>
      <c r="M18" s="364" t="s">
        <v>14</v>
      </c>
      <c r="N18" s="113"/>
      <c r="O18" s="113"/>
      <c r="P18" s="137"/>
      <c r="Q18" s="359">
        <f>IF(C16="Nema","Nema",H8*10000/(SUM(C4:P8)*10000+0.5))</f>
        <v>0</v>
      </c>
      <c r="R18" s="359"/>
      <c r="S18" s="365"/>
      <c r="T18" s="130"/>
    </row>
    <row r="19" spans="1:20" ht="11.25" customHeight="1">
      <c r="A19" s="130"/>
      <c r="B19" s="130"/>
      <c r="C19" s="149" t="s">
        <v>253</v>
      </c>
      <c r="D19" s="130"/>
      <c r="E19" s="130"/>
      <c r="F19" s="130"/>
      <c r="G19" s="149" t="s">
        <v>106</v>
      </c>
      <c r="H19" s="130"/>
      <c r="I19" s="130"/>
      <c r="J19" s="130"/>
      <c r="K19" s="130"/>
      <c r="L19" s="130"/>
      <c r="M19" s="364" t="s">
        <v>91</v>
      </c>
      <c r="N19" s="113"/>
      <c r="O19" s="113"/>
      <c r="P19" s="137"/>
      <c r="Q19" s="359">
        <f>IF(C16="Nema","Nema",I8*10000/(SUM(C4:P8)*10000+0.5))</f>
        <v>0.020905919702801444</v>
      </c>
      <c r="R19" s="359"/>
      <c r="T19" s="130"/>
    </row>
    <row r="20" spans="1:20" ht="11.25" customHeight="1">
      <c r="A20" s="130"/>
      <c r="B20" s="356" t="s">
        <v>254</v>
      </c>
      <c r="C20" s="131">
        <f>IF(COUNTIF(B!F3:B!F42,"1")=0,"Nema",COUNTIF(B!F3:B!F42,"1"))</f>
        <v>1</v>
      </c>
      <c r="D20" s="366"/>
      <c r="E20" s="366"/>
      <c r="F20" s="130"/>
      <c r="G20" s="367" t="s">
        <v>255</v>
      </c>
      <c r="H20" s="336"/>
      <c r="I20" s="336"/>
      <c r="J20" s="336"/>
      <c r="K20" s="359">
        <f>IF(C20="Nema","Nema",C20*10000/(SUM(C12:C17)*10000+0.5))</f>
        <v>0.04545444214899511</v>
      </c>
      <c r="L20" s="359"/>
      <c r="M20" s="364" t="s">
        <v>225</v>
      </c>
      <c r="N20" s="113"/>
      <c r="O20" s="113"/>
      <c r="P20" s="137"/>
      <c r="Q20" s="359">
        <f>IF(C16="Nema","Nema",J8*10000/(SUM(C4:P8)*10000+0.5))</f>
        <v>0.020905919702801444</v>
      </c>
      <c r="R20" s="359"/>
      <c r="T20" s="130"/>
    </row>
    <row r="21" spans="1:20" ht="11.25" customHeight="1">
      <c r="A21" s="130"/>
      <c r="B21" s="356" t="s">
        <v>256</v>
      </c>
      <c r="C21" s="131">
        <f>IF(COUNTIF(B!F3:B!F42,"2")=0,"Nema",COUNTIF(B!F3:B!F42,"2"))</f>
        <v>4</v>
      </c>
      <c r="D21" s="366"/>
      <c r="E21" s="366"/>
      <c r="F21" s="130"/>
      <c r="G21" s="367" t="s">
        <v>257</v>
      </c>
      <c r="H21" s="336"/>
      <c r="I21" s="336"/>
      <c r="J21" s="336"/>
      <c r="K21" s="359">
        <f>IF(C21="Nema","Nema",C21*10000/(SUM(C12:C17)*10000+0.5))</f>
        <v>0.18181776859598045</v>
      </c>
      <c r="L21" s="359"/>
      <c r="M21" s="364" t="s">
        <v>258</v>
      </c>
      <c r="N21" s="113"/>
      <c r="O21" s="113"/>
      <c r="P21" s="137"/>
      <c r="Q21" s="359">
        <f>IF(C16="Nema","Nema",K8*10000/(SUM(C4:P8)*10000+0.5))</f>
        <v>0</v>
      </c>
      <c r="R21" s="359"/>
      <c r="T21" s="130"/>
    </row>
    <row r="22" spans="1:20" ht="11.25" customHeight="1">
      <c r="A22" s="130"/>
      <c r="B22" s="356" t="s">
        <v>259</v>
      </c>
      <c r="C22" s="131">
        <f>IF(COUNTIF(B!F3:B!F442,"&gt;2")=0,"Nema",COUNTIF(B!F3:B!F42,"&gt;2"))</f>
        <v>3</v>
      </c>
      <c r="D22" s="366"/>
      <c r="E22" s="366"/>
      <c r="F22" s="130"/>
      <c r="G22" s="367" t="s">
        <v>260</v>
      </c>
      <c r="H22" s="336"/>
      <c r="I22" s="336"/>
      <c r="J22" s="336"/>
      <c r="K22" s="359">
        <f>IF(C22="Nema","Nema",C22*10000/(SUM(C12:C17)*10000+0.5))</f>
        <v>0.13636332644698534</v>
      </c>
      <c r="L22" s="359"/>
      <c r="M22" s="113" t="s">
        <v>18</v>
      </c>
      <c r="N22" s="113"/>
      <c r="O22" s="113"/>
      <c r="P22" s="137"/>
      <c r="Q22" s="359">
        <f>IF(C16="Nema","Nema",L8*10000/(SUM(C4:P8)*10000+0.5))</f>
        <v>0</v>
      </c>
      <c r="R22" s="359"/>
      <c r="T22" s="130"/>
    </row>
    <row r="23" spans="1:20" ht="11.25" customHeight="1">
      <c r="A23" s="130"/>
      <c r="B23" s="356" t="s">
        <v>261</v>
      </c>
      <c r="C23" s="131" t="str">
        <f>IF(COUNTIF(B!F3:B!F42,"&gt;3")=0,"Nema",COUNTIF(B!F3:B!F42,"&gt;3"))</f>
        <v>Nema</v>
      </c>
      <c r="D23" s="366"/>
      <c r="E23" s="366"/>
      <c r="F23" s="130"/>
      <c r="G23" s="367" t="s">
        <v>262</v>
      </c>
      <c r="H23" s="336"/>
      <c r="I23" s="336"/>
      <c r="J23" s="336"/>
      <c r="K23" s="359" t="str">
        <f>IF(C23="Nema","Nema",C23*10000/(SUM(C12:C17)*10000+0.5))</f>
        <v>Nema</v>
      </c>
      <c r="L23" s="359"/>
      <c r="M23" s="113" t="s">
        <v>19</v>
      </c>
      <c r="N23" s="113"/>
      <c r="O23" s="113"/>
      <c r="P23" s="137"/>
      <c r="Q23" s="359">
        <f>IF(C16="Nema","Nema",M8*10000/(SUM(C4:P8)*10000+0.5))</f>
        <v>0</v>
      </c>
      <c r="R23" s="359"/>
      <c r="T23" s="130"/>
    </row>
    <row r="24" spans="1:20" ht="11.25" customHeight="1">
      <c r="A24" s="130"/>
      <c r="B24" s="356" t="s">
        <v>263</v>
      </c>
      <c r="C24" s="131" t="str">
        <f>IF(COUNTIF(B!F3:B!F42,"&gt;4")=0,"Nema",COUNTIF(B!F3:B!F42,"&gt;4"))</f>
        <v>Nema</v>
      </c>
      <c r="D24" s="366"/>
      <c r="E24" s="366"/>
      <c r="F24" s="138"/>
      <c r="G24" s="336" t="s">
        <v>264</v>
      </c>
      <c r="H24" s="336"/>
      <c r="I24" s="336"/>
      <c r="J24" s="336"/>
      <c r="K24" s="359" t="str">
        <f>IF(C24="Nema","Nema",C24*10000/(SUM(C12:C17)*10000+0.5))</f>
        <v>Nema</v>
      </c>
      <c r="L24" s="359"/>
      <c r="M24" s="118" t="s">
        <v>265</v>
      </c>
      <c r="N24" s="118"/>
      <c r="O24" s="118"/>
      <c r="P24" s="137"/>
      <c r="Q24" s="359">
        <f>IF(C16="Nema","Nema",N8*10000/(SUM(C4:P8)*10000+0.5))</f>
        <v>0</v>
      </c>
      <c r="R24" s="359"/>
      <c r="T24" s="130"/>
    </row>
    <row r="25" spans="1:20" ht="11.25" customHeight="1">
      <c r="A25" s="130"/>
      <c r="B25" s="336"/>
      <c r="C25" s="337"/>
      <c r="D25" s="337"/>
      <c r="E25" s="337"/>
      <c r="F25" s="337"/>
      <c r="G25" s="336"/>
      <c r="H25" s="337"/>
      <c r="I25" s="337"/>
      <c r="J25" s="337"/>
      <c r="K25" s="337"/>
      <c r="L25" s="337"/>
      <c r="M25" s="118" t="s">
        <v>266</v>
      </c>
      <c r="N25" s="118"/>
      <c r="O25" s="118"/>
      <c r="P25" s="137"/>
      <c r="Q25" s="359" t="str">
        <f>IF(O8=0,"Nema",O8*10000/(SUM(C4:P8)*10000+0.5))</f>
        <v>Nema</v>
      </c>
      <c r="R25" s="359"/>
      <c r="T25" s="130"/>
    </row>
    <row r="26" spans="1:20" ht="11.25" customHeight="1">
      <c r="A26" s="130"/>
      <c r="B26" s="130"/>
      <c r="C26" s="149"/>
      <c r="D26" s="149" t="s">
        <v>267</v>
      </c>
      <c r="E26" s="130"/>
      <c r="F26" s="130"/>
      <c r="G26" s="130"/>
      <c r="H26" s="149"/>
      <c r="I26" s="149"/>
      <c r="J26" s="149"/>
      <c r="K26" s="149"/>
      <c r="L26" s="149"/>
      <c r="M26" s="118" t="s">
        <v>227</v>
      </c>
      <c r="N26" s="118"/>
      <c r="O26" s="118"/>
      <c r="P26" s="166"/>
      <c r="Q26" s="359">
        <f>IF(C16="Nema","Nema",P8*10000/(SUM(C4:P8)*10000+0.5))</f>
        <v>0.006968639900933815</v>
      </c>
      <c r="R26" s="359"/>
      <c r="T26" s="130"/>
    </row>
    <row r="27" spans="1:20" ht="11.25" customHeight="1">
      <c r="A27" s="130"/>
      <c r="B27" s="356"/>
      <c r="C27" s="318" t="s">
        <v>268</v>
      </c>
      <c r="D27" s="318"/>
      <c r="E27" s="318" t="s">
        <v>269</v>
      </c>
      <c r="F27" s="318"/>
      <c r="G27" s="318" t="s">
        <v>270</v>
      </c>
      <c r="H27" s="318"/>
      <c r="I27" s="318" t="s">
        <v>117</v>
      </c>
      <c r="J27" s="318"/>
      <c r="K27" s="318"/>
      <c r="L27" s="368" t="s">
        <v>271</v>
      </c>
      <c r="M27" s="369"/>
      <c r="T27" s="130"/>
    </row>
    <row r="28" spans="1:21" ht="11.25" customHeight="1">
      <c r="A28" s="130"/>
      <c r="B28" s="157"/>
      <c r="C28" s="318" t="s">
        <v>121</v>
      </c>
      <c r="D28" s="318" t="s">
        <v>122</v>
      </c>
      <c r="E28" s="318" t="s">
        <v>121</v>
      </c>
      <c r="F28" s="318" t="s">
        <v>122</v>
      </c>
      <c r="G28" s="318" t="s">
        <v>121</v>
      </c>
      <c r="H28" s="318" t="s">
        <v>122</v>
      </c>
      <c r="I28" s="318" t="s">
        <v>121</v>
      </c>
      <c r="J28" s="318" t="s">
        <v>123</v>
      </c>
      <c r="K28" s="370" t="s">
        <v>272</v>
      </c>
      <c r="L28" s="371">
        <f>IF(Upis!E1=5,12*27,IF(Upis!E1=6,12*27,IF(Upis!E1=7,12*28,IF(Upis!E1=8,INT(34*28)/3,0))))</f>
        <v>317.3333333333333</v>
      </c>
      <c r="M28" s="203" t="s">
        <v>272</v>
      </c>
      <c r="N28" s="372" t="s">
        <v>273</v>
      </c>
      <c r="P28" s="372" t="s">
        <v>273</v>
      </c>
      <c r="T28" s="130"/>
      <c r="U28" s="373" t="s">
        <v>274</v>
      </c>
    </row>
    <row r="29" spans="1:21" ht="11.25" customHeight="1">
      <c r="A29" s="130"/>
      <c r="B29" s="374" t="s">
        <v>125</v>
      </c>
      <c r="C29" s="375">
        <f>K29</f>
        <v>7</v>
      </c>
      <c r="D29" s="375">
        <f aca="true" t="shared" si="0" ref="D29:E31">M29</f>
        <v>98</v>
      </c>
      <c r="E29" s="375">
        <f t="shared" si="0"/>
        <v>15</v>
      </c>
      <c r="F29" s="375">
        <f aca="true" t="shared" si="1" ref="F29:H31">P29</f>
        <v>777</v>
      </c>
      <c r="G29" s="375">
        <f t="shared" si="1"/>
        <v>8</v>
      </c>
      <c r="H29" s="375">
        <f t="shared" si="1"/>
        <v>509</v>
      </c>
      <c r="I29" s="376">
        <f>IF(COUNTIF(Uspeh!G3:Uspeh!G42,"&gt;0")=0,0,COUNTIF(Uspeh!G3:Uspeh!G42,"&gt;0"))</f>
        <v>22</v>
      </c>
      <c r="J29" s="376">
        <f>IF(COUNTIF(Uspeh!G3:Uspeh!G42,"&gt;0")=0,0,SUMIF(Uspeh!G3:Uspeh!G42,"&gt;0"))</f>
        <v>875</v>
      </c>
      <c r="K29" s="377">
        <f>IF(COUNTIF(Uspeh!G3:Uspeh!G42,"&lt;26")=0,0,COUNTIF(Uspeh!G3:Uspeh!G42,"&lt; 26")-COUNTIF(Uspeh!G3:Uspeh!G42,"0"))</f>
        <v>7</v>
      </c>
      <c r="L29" s="378">
        <f>IF(COUNTIF(Uspeh!G3:Uspeh!G42,"&gt;"&amp;L28)=0,0,COUNTIF(Uspeh!G3:Uspeh!G42,"&gt; "&amp;L28))</f>
        <v>0</v>
      </c>
      <c r="M29" s="379">
        <f>IF(COUNTIF(Uspeh!G3:Uspeh!G42,"&lt; 26")=0,0,SUMIF(Uspeh!G3:Uspeh!G42,"&lt; 26"))</f>
        <v>98</v>
      </c>
      <c r="N29" s="380">
        <f>IF(COUNTIF(Uspeh!G3:Uspeh!G42,"&gt;0")=0,0,COUNTIF(Uspeh!G3:Uspeh!G42,"&gt;0")-K29-L29)</f>
        <v>15</v>
      </c>
      <c r="O29" s="380"/>
      <c r="P29" s="380">
        <f>IF(COUNTIF(Uspeh!G3:Uspeh!G42,"&gt;0")=0,0,SUMIF(Uspeh!G3:Uspeh!G42,"&gt; 0")-M29-U29)</f>
        <v>777</v>
      </c>
      <c r="Q29" s="380">
        <f>IF(COUNTIF(Uspeh!G3:Uspeh!G42,"&gt;50")=0,0,COUNTIF(Uspeh!G3:Uspeh!G42,"&gt; 50"))</f>
        <v>8</v>
      </c>
      <c r="R29" s="380">
        <f>IF(COUNTIF(Uspeh!G3:Uspeh!G42,"&gt; 50")=0,0,SUMIF(Uspeh!G3:Uspeh!G42,"&gt; 50"))</f>
        <v>509</v>
      </c>
      <c r="T29" s="130"/>
      <c r="U29" s="381">
        <f>IF(COUNTIF(Uspeh!G3:Uspeh!G42,"&gt;"&amp;L28)=0,0,SUMIF(Uspeh!G3:Uspeh!G42,"&gt; "&amp;L28))</f>
        <v>0</v>
      </c>
    </row>
    <row r="30" spans="1:21" ht="11.25" customHeight="1">
      <c r="A30" s="130"/>
      <c r="B30" s="374" t="s">
        <v>127</v>
      </c>
      <c r="C30" s="375">
        <f>K30</f>
        <v>0</v>
      </c>
      <c r="D30" s="375">
        <f t="shared" si="0"/>
        <v>0</v>
      </c>
      <c r="E30" s="375">
        <f t="shared" si="0"/>
        <v>0</v>
      </c>
      <c r="F30" s="375">
        <f t="shared" si="1"/>
        <v>0</v>
      </c>
      <c r="G30" s="375">
        <f t="shared" si="1"/>
        <v>0</v>
      </c>
      <c r="H30" s="375">
        <f t="shared" si="1"/>
        <v>0</v>
      </c>
      <c r="I30" s="376">
        <f>IF(COUNTIF(Uspeh!J3:Uspeh!J42,"&gt;0")=0,0,COUNTIF(Uspeh!J3:Uspeh!J42,"&gt;0"))</f>
        <v>0</v>
      </c>
      <c r="J30" s="376">
        <f>IF(COUNTIF(Uspeh!J3:Uspeh!J42,"&gt; 0")=0,0,SUMIF(Uspeh!J3:Uspeh!J42,"&gt;0"))</f>
        <v>0</v>
      </c>
      <c r="K30" s="377">
        <f>IF(COUNTIF(Uspeh!J3:Uspeh!J42,"&lt;26")=0,0,COUNTIF(Uspeh!J3:Uspeh!J42,"&lt; 26")-COUNTIF(Uspeh!J3:Uspeh!J42,"0"))</f>
        <v>0</v>
      </c>
      <c r="L30" s="378">
        <f>IF(COUNTIF(Uspeh!J3:Uspeh!J42,"&gt;"&amp;L28)=0,0,COUNTIF(Uspeh!J3:Uspeh!J42,"&gt; "&amp;L28))</f>
        <v>0</v>
      </c>
      <c r="M30" s="379">
        <f>IF(COUNTIF(Uspeh!J3:Uspeh!J42,"&lt; 26")=0,0,SUMIF(Uspeh!J3:Uspeh!J42,"&lt; 26"))</f>
        <v>0</v>
      </c>
      <c r="N30" s="380">
        <f>IF(COUNTIF(Uspeh!J3:Uspeh!J42,"&gt;0")=0,0,COUNTIF(Uspeh!J3:Uspeh!J42,"&gt;0")-K30-L30)</f>
        <v>0</v>
      </c>
      <c r="O30" s="380"/>
      <c r="P30" s="380">
        <f>IF(COUNTIF(Uspeh!J3:Uspeh!J42,"&lt; 51")=0,0,SUMIF(Uspeh!J3:Uspeh!J42,"&lt; 51")-M30-U30)</f>
        <v>0</v>
      </c>
      <c r="Q30" s="380">
        <f>IF(COUNTIF(Uspeh!J3:Uspeh!J42,"&gt;50")=0,0,COUNTIF(Uspeh!J3:Uspeh!J42,"&gt; 50"))</f>
        <v>0</v>
      </c>
      <c r="R30" s="380">
        <f>IF(COUNTIF(Uspeh!J3:Uspeh!J42,"&gt; 50")=0,0,SUMIF(Uspeh!J3:Uspeh!J42,"&gt; 50"))</f>
        <v>0</v>
      </c>
      <c r="T30" s="130"/>
      <c r="U30" s="381">
        <f>IF(COUNTIF(Uspeh!J3:Uspeh!J42,"&gt;"&amp;L28)=0,0,SUMIF(Uspeh!J3:Uspeh!J42,"&gt; "&amp;L28))</f>
        <v>0</v>
      </c>
    </row>
    <row r="31" spans="1:21" ht="11.25" customHeight="1">
      <c r="A31" s="130"/>
      <c r="B31" s="374" t="s">
        <v>275</v>
      </c>
      <c r="C31" s="375">
        <f>K31</f>
        <v>7</v>
      </c>
      <c r="D31" s="375">
        <f t="shared" si="0"/>
        <v>98</v>
      </c>
      <c r="E31" s="375">
        <f t="shared" si="0"/>
        <v>15</v>
      </c>
      <c r="F31" s="375">
        <f t="shared" si="1"/>
        <v>777</v>
      </c>
      <c r="G31" s="375">
        <f t="shared" si="1"/>
        <v>8</v>
      </c>
      <c r="H31" s="375">
        <f t="shared" si="1"/>
        <v>509</v>
      </c>
      <c r="I31" s="376">
        <f>IF(COUNTIF(Uspeh!M3:Uspeh!M42,"&gt;0")=0,0,COUNTIF(Uspeh!M3:Uspeh!M42,"&gt;0"))</f>
        <v>22</v>
      </c>
      <c r="J31" s="376">
        <f>IF(COUNTIF(Uspeh!M3:Uspeh!M42,"&gt;0")=0,0,SUMIF(Uspeh!M3:Uspeh!M42,"&gt;0"))</f>
        <v>875</v>
      </c>
      <c r="K31" s="377">
        <f>IF(COUNTIF(Uspeh!M3:Uspeh!M42,"&lt;26")=0,0,COUNTIF(Uspeh!M3:Uspeh!M42,"&lt; 26")-COUNTIF(Uspeh!M3:Uspeh!M42,"0"))</f>
        <v>7</v>
      </c>
      <c r="L31" s="378">
        <f>IF(COUNTIF(Uspeh!M3:Uspeh!M42,"&gt;"&amp;L28)=0,0,COUNTIF(Uspeh!M3:Uspeh!M42,"&gt; "&amp;L28))</f>
        <v>0</v>
      </c>
      <c r="M31" s="379">
        <f>IF(COUNTIF(Uspeh!M3:Uspeh!M42,"&lt; 26")=0,0,SUMIF(Uspeh!M3:Uspeh!M42,"&lt; 26"))</f>
        <v>98</v>
      </c>
      <c r="N31" s="380">
        <f>IF(COUNTIF(Uspeh!M3:Uspeh!M42,"&gt;0")=0,0,COUNTIF(Uspeh!M3:Uspeh!M42,"&gt;0")-K31-L31)</f>
        <v>15</v>
      </c>
      <c r="O31" s="380"/>
      <c r="P31" s="380">
        <f>IF(COUNTIF(Uspeh!M3:Uspeh!M42,"&gt;0")=0,0,SUMIF(Uspeh!M3:Uspeh!M42,"&gt;0")-M31-U31)</f>
        <v>777</v>
      </c>
      <c r="Q31" s="380">
        <f>IF(COUNTIF(Uspeh!M3:Uspeh!M42,"&gt;50")=0,0,COUNTIF(Uspeh!M3:Uspeh!M42,"&gt; 50"))</f>
        <v>8</v>
      </c>
      <c r="R31" s="380">
        <f>IF(COUNTIF(Uspeh!M3:Uspeh!M42,"&gt; 50")=0,0,SUMIF(Uspeh!M3:Uspeh!M42,"&gt; 50"))</f>
        <v>509</v>
      </c>
      <c r="T31" s="130"/>
      <c r="U31" s="381">
        <f>IF(COUNTIF(Uspeh!M3:Uspeh!G42,"&gt;"&amp;L28)=0,0,SUMIF(Uspeh!M3:Uspeh!M42,"&gt; "&amp;L28))</f>
        <v>0</v>
      </c>
    </row>
    <row r="32" spans="1:20" ht="11.25" customHeight="1">
      <c r="A32" s="130"/>
      <c r="B32" s="157"/>
      <c r="C32" s="157"/>
      <c r="D32" s="157" t="s">
        <v>276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30"/>
      <c r="O32" s="130"/>
      <c r="P32" s="130"/>
      <c r="Q32" s="130"/>
      <c r="R32" s="130"/>
      <c r="T32" s="130"/>
    </row>
    <row r="33" spans="1:20" ht="11.25" customHeight="1">
      <c r="A33" s="130"/>
      <c r="B33" s="356"/>
      <c r="C33" s="318" t="s">
        <v>268</v>
      </c>
      <c r="D33" s="318"/>
      <c r="E33" s="318" t="s">
        <v>277</v>
      </c>
      <c r="F33" s="318"/>
      <c r="G33" s="318" t="s">
        <v>270</v>
      </c>
      <c r="H33" s="318"/>
      <c r="I33" s="318" t="s">
        <v>117</v>
      </c>
      <c r="J33" s="318"/>
      <c r="K33" s="318"/>
      <c r="L33" s="318"/>
      <c r="M33" s="318"/>
      <c r="T33" s="130"/>
    </row>
    <row r="34" spans="1:20" ht="11.25" customHeight="1">
      <c r="A34" s="130"/>
      <c r="B34" s="157"/>
      <c r="C34" s="318" t="s">
        <v>121</v>
      </c>
      <c r="D34" s="318" t="s">
        <v>122</v>
      </c>
      <c r="E34" s="318" t="s">
        <v>121</v>
      </c>
      <c r="F34" s="318" t="s">
        <v>122</v>
      </c>
      <c r="G34" s="318" t="s">
        <v>121</v>
      </c>
      <c r="H34" s="318" t="s">
        <v>122</v>
      </c>
      <c r="I34" s="318" t="s">
        <v>121</v>
      </c>
      <c r="J34" s="318" t="s">
        <v>123</v>
      </c>
      <c r="K34" s="370" t="s">
        <v>278</v>
      </c>
      <c r="L34" s="382"/>
      <c r="M34" s="382" t="s">
        <v>278</v>
      </c>
      <c r="N34" s="372" t="s">
        <v>279</v>
      </c>
      <c r="O34" s="372"/>
      <c r="P34" s="372" t="s">
        <v>279</v>
      </c>
      <c r="Q34" s="372" t="s">
        <v>280</v>
      </c>
      <c r="R34" s="372" t="s">
        <v>280</v>
      </c>
      <c r="T34" s="130"/>
    </row>
    <row r="35" spans="1:20" ht="11.25" customHeight="1">
      <c r="A35" s="130"/>
      <c r="B35" s="356" t="s">
        <v>125</v>
      </c>
      <c r="C35" s="375">
        <f>K35</f>
        <v>4</v>
      </c>
      <c r="D35" s="375">
        <f aca="true" t="shared" si="2" ref="D35:E37">M35</f>
        <v>48</v>
      </c>
      <c r="E35" s="375">
        <f t="shared" si="2"/>
        <v>1</v>
      </c>
      <c r="F35" s="375">
        <f aca="true" t="shared" si="3" ref="F35:H37">P35</f>
        <v>21</v>
      </c>
      <c r="G35" s="375">
        <f t="shared" si="3"/>
        <v>0</v>
      </c>
      <c r="H35" s="375">
        <f t="shared" si="3"/>
        <v>0</v>
      </c>
      <c r="I35" s="376">
        <f>IF(COUNTIF(Uspeh!H3:Uspeh!H42,"&gt;0")=0,0,COUNTIF(Uspeh!H3:Uspeh!H42,"&gt; 0"))</f>
        <v>13</v>
      </c>
      <c r="J35" s="376">
        <f>IF(COUNTIF(Uspeh!H3:Uspeh!H42,"&gt;0")=0,0,SUMIF(Uspeh!H3:Uspeh!H42,"&gt;0"))</f>
        <v>96</v>
      </c>
      <c r="K35" s="375">
        <f>IF(COUNTIF(Uspeh!H3:Uspeh!H42,"&lt;18")=0,0,COUNTIF(Uspeh!H3:Uspeh!H42,"&lt; 18")-COUNTIF(Uspeh!H3:Uspeh!H42,"&lt;8"))</f>
        <v>4</v>
      </c>
      <c r="L35" s="383"/>
      <c r="M35" s="384">
        <f>IF(COUNTIF(Uspeh!H3:Uspeh!H42,"&lt; 18")=0,0,SUMIF(Uspeh!H3:Uspeh!H42,"&lt; 18")-SUMIF(Uspeh!H3:Uspeh!H42,"&lt;8"))</f>
        <v>48</v>
      </c>
      <c r="N35" s="375">
        <f>IF(COUNTIF(Uspeh!H3:Uspeh!H42,"&lt;25")=0,0,COUNTIF(Uspeh!H3:Uspeh!H42,"&lt; 25")-COUNTIF(Uspeh!H3:Uspeh!H42,"&lt;18"))</f>
        <v>1</v>
      </c>
      <c r="O35" s="375"/>
      <c r="P35" s="384">
        <f>IF(COUNTIF(Uspeh!H3:Uspeh!H42,"&lt; 25")=0,0,SUMIF(Uspeh!H3:Uspeh!H42,"&lt; 25")-SUMIF(Uspeh!H3:Uspeh!H42,"&lt; 18"))</f>
        <v>21</v>
      </c>
      <c r="Q35" s="375">
        <f>IF(COUNTIF(Uspeh!H3:Uspeh!H42,"&gt;24")=0,0,COUNTIF(Uspeh!H3:Uspeh!H42,"&gt; 24"))</f>
        <v>0</v>
      </c>
      <c r="R35" s="384">
        <f>IF(COUNTIF(Uspeh!H3:Uspeh!H42,"&gt; 24")=0,0,SUMIF(Uspeh!H3:Uspeh!H42,"&gt; 24"))</f>
        <v>0</v>
      </c>
      <c r="T35" s="130"/>
    </row>
    <row r="36" spans="1:20" ht="11.25" customHeight="1">
      <c r="A36" s="130"/>
      <c r="B36" s="356" t="s">
        <v>127</v>
      </c>
      <c r="C36" s="375">
        <f>K36</f>
        <v>0</v>
      </c>
      <c r="D36" s="375">
        <f t="shared" si="2"/>
        <v>0</v>
      </c>
      <c r="E36" s="375">
        <f t="shared" si="2"/>
        <v>0</v>
      </c>
      <c r="F36" s="375">
        <f t="shared" si="3"/>
        <v>0</v>
      </c>
      <c r="G36" s="375">
        <f t="shared" si="3"/>
        <v>0</v>
      </c>
      <c r="H36" s="375">
        <f t="shared" si="3"/>
        <v>0</v>
      </c>
      <c r="I36" s="376">
        <f>IF(COUNTIF(Uspeh!K3:Uspeh!K42,"&gt;0")=0,0,COUNTIF(Uspeh!K3:Uspeh!K42,"&gt;0"))</f>
        <v>0</v>
      </c>
      <c r="J36" s="376">
        <f>IF(COUNTIF(Uspeh!K3:Uspeh!K42,"&gt;0")=0,0,SUMIF(Uspeh!K3:Uspeh!K42,"&gt;0"))</f>
        <v>0</v>
      </c>
      <c r="K36" s="375">
        <f>IF(COUNTIF(Uspeh!K3:Uspeh!K42,"&lt;18")=0,0,COUNTIF(Uspeh!K3:Uspeh!K42,"&lt; 18")-COUNTIF(Uspeh!K3:Uspeh!K42,"&lt;8"))</f>
        <v>0</v>
      </c>
      <c r="L36" s="383"/>
      <c r="M36" s="384">
        <f>IF(COUNTIF(Uspeh!K3:Uspeh!K42,"&lt; 18")=0,0,SUMIF(Uspeh!K3:Uspeh!K42,"&lt; 18")-SUMIF(Uspeh!K3:Uspeh!K42,"&lt;8"))</f>
        <v>0</v>
      </c>
      <c r="N36" s="375">
        <f>IF(COUNTIF(Uspeh!K3:Uspeh!K42,"&lt;25")=0,0,COUNTIF(Uspeh!K3:Uspeh!K42,"&lt;25")-COUNTIF(Uspeh!K3:Uspeh!K42,"&lt;18"))</f>
        <v>0</v>
      </c>
      <c r="O36" s="375"/>
      <c r="P36" s="384">
        <f>IF(COUNTIF(Uspeh!K3:Uspeh!K42,"&lt; 25")=0,0,SUMIF(Uspeh!K3:Uspeh!K42,"&lt; 25")-SUMIF(Uspeh!K3:Uspeh!K42,"&lt; 18"))</f>
        <v>0</v>
      </c>
      <c r="Q36" s="375">
        <f>IF(COUNTIF(Uspeh!K3:Uspeh!K42,"&gt;24")=0,0,COUNTIF(Uspeh!K3:Uspeh!K42,"&gt; 24"))</f>
        <v>0</v>
      </c>
      <c r="R36" s="384">
        <f>IF(COUNTIF(Uspeh!K3:Uspeh!K42,"&gt;24")=0,0,SUMIF(Uspeh!K3:Uspeh!K43,"&gt; 24"))</f>
        <v>0</v>
      </c>
      <c r="T36" s="130"/>
    </row>
    <row r="37" spans="1:20" ht="11.25" customHeight="1">
      <c r="A37" s="130"/>
      <c r="B37" s="356" t="s">
        <v>275</v>
      </c>
      <c r="C37" s="375">
        <f>K37</f>
        <v>4</v>
      </c>
      <c r="D37" s="375">
        <f t="shared" si="2"/>
        <v>48</v>
      </c>
      <c r="E37" s="375">
        <f t="shared" si="2"/>
        <v>1</v>
      </c>
      <c r="F37" s="375">
        <f t="shared" si="3"/>
        <v>21</v>
      </c>
      <c r="G37" s="375">
        <f t="shared" si="3"/>
        <v>0</v>
      </c>
      <c r="H37" s="375">
        <f t="shared" si="3"/>
        <v>0</v>
      </c>
      <c r="I37" s="376">
        <f>IF(COUNTIF(Uspeh!N3:Uspeh!N42,"&gt;0")=0,0,COUNTIF(Uspeh!N3:Uspeh!N42,"&gt;0"))</f>
        <v>13</v>
      </c>
      <c r="J37" s="376">
        <f>IF(COUNTIF(Uspeh!N3:Uspeh!N42,"&gt;0")=0,0,SUMIF(Uspeh!N3:Uspeh!N42,"&gt;0"))</f>
        <v>96</v>
      </c>
      <c r="K37" s="375">
        <f>IF(COUNTIF(Uspeh!N3:Uspeh!N42,"&lt;18")=0,0,COUNTIF(Uspeh!N3:Uspeh!N42,"&lt; 18")-COUNTIF(Uspeh!N3:Uspeh!N42,"&lt;8"))</f>
        <v>4</v>
      </c>
      <c r="L37" s="383"/>
      <c r="M37" s="384">
        <f>IF(COUNTIF(Uspeh!N3:Uspeh!N42,"&lt; 18")=0,0,SUMIF(Uspeh!N3:Uspeh!N42,"&lt; 18")-SUMIF(Uspeh!N3:Uspeh!N42,"&lt;8"))</f>
        <v>48</v>
      </c>
      <c r="N37" s="375">
        <f>IF(COUNTIF(Uspeh!N3:Uspeh!N42,"&lt;25")=0,0,COUNTIF(Uspeh!N3:Uspeh!N42,"&lt; 25")-COUNTIF(Uspeh!N3:Uspeh!N42,"&lt;18"))</f>
        <v>1</v>
      </c>
      <c r="O37" s="375"/>
      <c r="P37" s="384">
        <f>IF(COUNTIF(Uspeh!N3:Uspeh!N42,"&lt; 25")=0,0,SUMIF(Uspeh!N3:Uspeh!N42,"&lt; 25")-SUMIF(Uspeh!N3:Uspeh!N42,"&lt; 18"))</f>
        <v>21</v>
      </c>
      <c r="Q37" s="375">
        <f>IF(COUNTIF(Uspeh!N3:Uspeh!N42,"&gt;24")=0,0,COUNTIF(Uspeh!N3:Uspeh!N42,"&gt; 24"))</f>
        <v>0</v>
      </c>
      <c r="R37" s="384">
        <f>IF(COUNTIF(Uspeh!N3:Uspeh!N42,"&gt; 24")=0,0,SUMIF(Uspeh!N3:Uspeh!N42,"&gt; 24"))</f>
        <v>0</v>
      </c>
      <c r="T37" s="130"/>
    </row>
    <row r="38" spans="1:20" ht="11.25" customHeight="1">
      <c r="A38" s="130"/>
      <c r="B38" s="157"/>
      <c r="C38" s="157"/>
      <c r="D38" s="157"/>
      <c r="E38" s="157"/>
      <c r="F38" s="157"/>
      <c r="G38" s="157"/>
      <c r="H38" s="157"/>
      <c r="I38" s="157"/>
      <c r="J38" s="157"/>
      <c r="K38" s="127"/>
      <c r="L38" s="127"/>
      <c r="M38" s="127"/>
      <c r="N38" s="348"/>
      <c r="O38" s="348"/>
      <c r="P38" s="348"/>
      <c r="Q38" s="348"/>
      <c r="R38" s="348"/>
      <c r="T38" s="130"/>
    </row>
    <row r="39" spans="1:20" ht="11.25" customHeight="1">
      <c r="A39" s="130"/>
      <c r="B39" s="321" t="s">
        <v>281</v>
      </c>
      <c r="H39" s="372">
        <f>SUM(B!I3:B!I42)</f>
        <v>971</v>
      </c>
      <c r="I39" s="321">
        <f>H39/SUM(C12:C17)</f>
        <v>44.13636363636363</v>
      </c>
      <c r="K39" s="1"/>
      <c r="L39" s="1"/>
      <c r="M39" s="1"/>
      <c r="N39" s="1"/>
      <c r="O39" s="1"/>
      <c r="P39" s="1"/>
      <c r="Q39" s="1"/>
      <c r="R39" s="1"/>
      <c r="T39" s="130"/>
    </row>
    <row r="40" spans="1:20" ht="11.25" customHeight="1">
      <c r="A40" s="130"/>
      <c r="B40" s="321" t="s">
        <v>282</v>
      </c>
      <c r="H40" s="372">
        <f>SUM(B!L3:B!L42)</f>
        <v>0</v>
      </c>
      <c r="I40" s="321">
        <f>H40/SUM(C12:C17)</f>
        <v>0</v>
      </c>
      <c r="K40" s="1"/>
      <c r="L40" s="1"/>
      <c r="M40" s="1"/>
      <c r="N40" s="1"/>
      <c r="O40" s="1"/>
      <c r="P40" s="1"/>
      <c r="Q40" s="1"/>
      <c r="R40" s="1"/>
      <c r="T40" s="130"/>
    </row>
    <row r="41" spans="1:20" ht="11.25" customHeight="1">
      <c r="A41" s="130"/>
      <c r="B41" s="321" t="s">
        <v>283</v>
      </c>
      <c r="H41" s="385">
        <f>J31+J37</f>
        <v>971</v>
      </c>
      <c r="I41" s="321">
        <f>H41/SUM(C12:C17)</f>
        <v>44.13636363636363</v>
      </c>
      <c r="K41" s="1"/>
      <c r="L41" s="1"/>
      <c r="M41" s="1"/>
      <c r="N41" s="1"/>
      <c r="O41" s="1"/>
      <c r="P41" s="1"/>
      <c r="Q41" s="1"/>
      <c r="R41" s="1"/>
      <c r="T41" s="130"/>
    </row>
    <row r="42" spans="1:20" ht="11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</row>
    <row r="43" spans="1:20" ht="11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</row>
    <row r="44" ht="11.25" customHeight="1"/>
  </sheetData>
  <mergeCells count="34">
    <mergeCell ref="H1:J1"/>
    <mergeCell ref="Q3:R3"/>
    <mergeCell ref="Q4:R4"/>
    <mergeCell ref="Q5:R5"/>
    <mergeCell ref="Q6:R6"/>
    <mergeCell ref="Q7:R7"/>
    <mergeCell ref="Q8:R8"/>
    <mergeCell ref="Q9:R9"/>
    <mergeCell ref="K12:L12"/>
    <mergeCell ref="K13:L13"/>
    <mergeCell ref="Q13:R13"/>
    <mergeCell ref="K14:L14"/>
    <mergeCell ref="Q14:R14"/>
    <mergeCell ref="K15:L15"/>
    <mergeCell ref="Q15:R15"/>
    <mergeCell ref="K16:L16"/>
    <mergeCell ref="Q16:R16"/>
    <mergeCell ref="K17:L17"/>
    <mergeCell ref="Q17:R17"/>
    <mergeCell ref="K18:L18"/>
    <mergeCell ref="Q18:R18"/>
    <mergeCell ref="Q19:R19"/>
    <mergeCell ref="K20:L20"/>
    <mergeCell ref="Q20:R20"/>
    <mergeCell ref="K21:L21"/>
    <mergeCell ref="Q21:R21"/>
    <mergeCell ref="K22:L22"/>
    <mergeCell ref="Q22:R22"/>
    <mergeCell ref="K23:L23"/>
    <mergeCell ref="Q23:R23"/>
    <mergeCell ref="K24:L24"/>
    <mergeCell ref="Q24:R24"/>
    <mergeCell ref="Q25:R25"/>
    <mergeCell ref="Q26:R26"/>
  </mergeCells>
  <printOptions gridLines="1" horizontalCentered="1" verticalCentered="1"/>
  <pageMargins left="0.7479166666666667" right="0.24791666666666667" top="0.9840277777777777" bottom="0.9840277777777777" header="0.5118055555555555" footer="0.5118055555555555"/>
  <pageSetup horizontalDpi="300" verticalDpi="3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6"/>
  <sheetViews>
    <sheetView workbookViewId="0" topLeftCell="A1">
      <selection activeCell="A1" sqref="A1:IV65536"/>
    </sheetView>
  </sheetViews>
  <sheetFormatPr defaultColWidth="9.140625" defaultRowHeight="12.75"/>
  <cols>
    <col min="1" max="1" width="15.00390625" style="2" customWidth="1"/>
    <col min="2" max="16" width="5.7109375" style="2" customWidth="1"/>
    <col min="17" max="17" width="15.57421875" style="2" customWidth="1"/>
    <col min="18" max="18" width="17.421875" style="2" customWidth="1"/>
    <col min="19" max="16384" width="9.00390625" style="2" customWidth="1"/>
  </cols>
  <sheetData>
    <row r="1" spans="1:18" s="386" customFormat="1" ht="9" customHeight="1">
      <c r="A1" s="386">
        <f>IF(B!F3&gt;0,B!B3,"")</f>
      </c>
      <c r="B1" s="387">
        <f>IF(B!F3&gt;0,B!F3,"")</f>
      </c>
      <c r="C1" s="386">
        <f>IF(A!C3=1,A!C$2,"")</f>
      </c>
      <c r="D1" s="386">
        <f>IF(A!D3=1,A!D$2,"")</f>
      </c>
      <c r="E1" s="386">
        <f>IF(A!E3=1,A!E$2,"")</f>
      </c>
      <c r="F1" s="386">
        <f>IF(A!F3=1,A!F$2,"")</f>
      </c>
      <c r="G1" s="386">
        <f>IF(A!G3=1,A!G$2,"")</f>
      </c>
      <c r="H1" s="386">
        <f>IF(A!H3=1,A!H$2,"")</f>
      </c>
      <c r="I1" s="386">
        <f>IF(A!I3=1,A!I$2,"")</f>
      </c>
      <c r="J1" s="386">
        <f>IF(A!J3=1,A!J$2,"")</f>
      </c>
      <c r="K1" s="386">
        <f>IF(A!K3=1,A!K$2,"")</f>
      </c>
      <c r="L1" s="386">
        <f>IF(A!L3=1,A!L$2,"")</f>
      </c>
      <c r="M1" s="386">
        <f>IF(A!M3=1,A!M$2,"")</f>
      </c>
      <c r="N1" s="386">
        <f>IF(A!N3=1,A!N$2,"")</f>
      </c>
      <c r="O1" s="388">
        <f>IF(A!P3=1,A!P$2,"")</f>
      </c>
      <c r="P1" s="388">
        <f>IF(A!O3=1,A!O$2,"")</f>
      </c>
      <c r="Q1" s="388" t="str">
        <f>IF(F!D2=5,F!B2,"")</f>
        <v>Andjelković Jelena</v>
      </c>
      <c r="R1" s="388">
        <f>IF(A!U3&lt;5,A!B3&amp;" "&amp;A!U3,"")</f>
      </c>
    </row>
    <row r="2" spans="1:18" s="386" customFormat="1" ht="9" customHeight="1">
      <c r="A2" s="386" t="str">
        <f>IF(B!F4&gt;0,B!B4,"")</f>
        <v>Blagojević Nenad</v>
      </c>
      <c r="B2" s="389">
        <f>IF(B!F4&gt;0,B!F4,"")</f>
        <v>3</v>
      </c>
      <c r="C2" s="386">
        <f>IF(A!C4=1,A!C$2,"")</f>
      </c>
      <c r="D2" s="386" t="str">
        <f>IF(A!D4=1,A!D$2,"")</f>
        <v>psj</v>
      </c>
      <c r="E2" s="386">
        <f>IF(A!E4=1,A!E$2,"")</f>
      </c>
      <c r="F2" s="386">
        <f>IF(A!F4=1,A!F$2,"")</f>
      </c>
      <c r="G2" s="386">
        <f>IF(A!G4=1,A!G$2,"")</f>
      </c>
      <c r="H2" s="386">
        <f>IF(A!H4=1,A!H$2,"")</f>
      </c>
      <c r="I2" s="386" t="str">
        <f>IF(A!I4=1,A!I$2,"")</f>
        <v>fiz</v>
      </c>
      <c r="J2" s="386" t="str">
        <f>IF(A!J4=1,A!J$2,"")</f>
        <v>mat</v>
      </c>
      <c r="K2" s="386">
        <f>IF(A!K4=1,A!K$2,"")</f>
      </c>
      <c r="L2" s="386">
        <f>IF(A!L4=1,A!L$2,"")</f>
      </c>
      <c r="M2" s="386">
        <f>IF(A!M4=1,A!M$2,"")</f>
      </c>
      <c r="N2" s="386">
        <f>IF(A!N4=1,A!N$2,"")</f>
      </c>
      <c r="O2" s="388">
        <f>IF(A!P4=1,A!P$2,"")</f>
      </c>
      <c r="P2" s="388">
        <f>IF(A!O4=1,A!O$2,"")</f>
      </c>
      <c r="Q2" s="388">
        <f>IF(F!D3=5,F!B3,"")</f>
      </c>
      <c r="R2" s="388" t="str">
        <f>IF(A!U4&lt;5,A!B4&amp;" "&amp;A!U4,"")</f>
        <v>Blagojević Nenad 3</v>
      </c>
    </row>
    <row r="3" spans="1:18" s="386" customFormat="1" ht="9" customHeight="1">
      <c r="A3" s="386">
        <f>IF(B!F5&gt;0,B!B5,"")</f>
      </c>
      <c r="B3" s="389">
        <f>IF(B!F5&gt;0,B!F5,"")</f>
      </c>
      <c r="C3" s="386">
        <f>IF(A!C5=1,A!C$2,"")</f>
      </c>
      <c r="D3" s="386">
        <f>IF(A!D5=1,A!D$2,"")</f>
      </c>
      <c r="E3" s="386">
        <f>IF(A!E5=1,A!E$2,"")</f>
      </c>
      <c r="F3" s="386">
        <f>IF(A!F5=1,A!F$2,"")</f>
      </c>
      <c r="G3" s="386">
        <f>IF(A!G5=1,A!G$2,"")</f>
      </c>
      <c r="H3" s="386">
        <f>IF(A!H5=1,A!H$2,"")</f>
      </c>
      <c r="I3" s="386">
        <f>IF(A!I5=1,A!I$2,"")</f>
      </c>
      <c r="J3" s="386">
        <f>IF(A!J5=1,A!J$2,"")</f>
      </c>
      <c r="K3" s="386">
        <f>IF(A!K5=1,A!K$2,"")</f>
      </c>
      <c r="L3" s="386">
        <f>IF(A!L5=1,A!L$2,"")</f>
      </c>
      <c r="M3" s="386">
        <f>IF(A!M5=1,A!M$2,"")</f>
      </c>
      <c r="N3" s="386">
        <f>IF(A!N5=1,A!N$2,"")</f>
      </c>
      <c r="O3" s="388">
        <f>IF(A!P5=1,A!P$2,"")</f>
      </c>
      <c r="P3" s="388">
        <f>IF(A!O5=1,A!O$2,"")</f>
      </c>
      <c r="Q3" s="388">
        <f>IF(F!D4=5,F!B4,"")</f>
      </c>
      <c r="R3" s="388">
        <f>IF(A!U5&lt;5,A!B5&amp;" "&amp;A!U5,"")</f>
      </c>
    </row>
    <row r="4" spans="1:18" s="386" customFormat="1" ht="9" customHeight="1">
      <c r="A4" s="386">
        <f>IF(B!F6&gt;0,B!B6,"")</f>
      </c>
      <c r="B4" s="389">
        <f>IF(B!F6&gt;0,B!F6,"")</f>
      </c>
      <c r="C4" s="386">
        <f>IF(A!C6=1,A!C$2,"")</f>
      </c>
      <c r="D4" s="386">
        <f>IF(A!D6=1,A!D$2,"")</f>
      </c>
      <c r="E4" s="386">
        <f>IF(A!E6=1,A!E$2,"")</f>
      </c>
      <c r="F4" s="386">
        <f>IF(A!F6=1,A!F$2,"")</f>
      </c>
      <c r="G4" s="386">
        <f>IF(A!G6=1,A!G$2,"")</f>
      </c>
      <c r="H4" s="386">
        <f>IF(A!H6=1,A!H$2,"")</f>
      </c>
      <c r="I4" s="386">
        <f>IF(A!I6=1,A!I$2,"")</f>
      </c>
      <c r="J4" s="386">
        <f>IF(A!J6=1,A!J$2,"")</f>
      </c>
      <c r="K4" s="386">
        <f>IF(A!K6=1,A!K$2,"")</f>
      </c>
      <c r="L4" s="386">
        <f>IF(A!L6=1,A!L$2,"")</f>
      </c>
      <c r="M4" s="386">
        <f>IF(A!M6=1,A!M$2,"")</f>
      </c>
      <c r="N4" s="386">
        <f>IF(A!N6=1,A!N$2,"")</f>
      </c>
      <c r="O4" s="388">
        <f>IF(A!P6=1,A!P$2,"")</f>
      </c>
      <c r="P4" s="388">
        <f>IF(A!O6=1,A!O$2,"")</f>
      </c>
      <c r="Q4" s="388" t="str">
        <f>IF(F!D5=5,F!B5,"")</f>
        <v>Brković Olivera</v>
      </c>
      <c r="R4" s="388">
        <f>IF(A!U6&lt;5,A!B6&amp;" "&amp;A!U6,"")</f>
      </c>
    </row>
    <row r="5" spans="1:18" s="386" customFormat="1" ht="9" customHeight="1">
      <c r="A5" s="386" t="str">
        <f>IF(B!F7&gt;0,B!B7,"")</f>
        <v>Veselinović Nemanja</v>
      </c>
      <c r="B5" s="389">
        <f>IF(B!F7&gt;0,B!F7,"")</f>
        <v>2</v>
      </c>
      <c r="C5" s="386">
        <f>IF(A!C7=1,A!C$2,"")</f>
      </c>
      <c r="D5" s="386">
        <f>IF(A!D7=1,A!D$2,"")</f>
      </c>
      <c r="E5" s="386">
        <f>IF(A!E7=1,A!E$2,"")</f>
      </c>
      <c r="F5" s="386">
        <f>IF(A!F7=1,A!F$2,"")</f>
      </c>
      <c r="G5" s="386">
        <f>IF(A!G7=1,A!G$2,"")</f>
      </c>
      <c r="H5" s="386">
        <f>IF(A!H7=1,A!H$2,"")</f>
      </c>
      <c r="I5" s="386" t="str">
        <f>IF(A!I7=1,A!I$2,"")</f>
        <v>fiz</v>
      </c>
      <c r="J5" s="386">
        <f>IF(A!J7=1,A!J$2,"")</f>
      </c>
      <c r="K5" s="386">
        <f>IF(A!K7=1,A!K$2,"")</f>
      </c>
      <c r="L5" s="386">
        <f>IF(A!L7=1,A!L$2,"")</f>
      </c>
      <c r="M5" s="386">
        <f>IF(A!M7=1,A!M$2,"")</f>
      </c>
      <c r="N5" s="386">
        <f>IF(A!N7=1,A!N$2,"")</f>
      </c>
      <c r="O5" s="388" t="str">
        <f>IF(A!P7=1,A!P$2,"")</f>
        <v>dsj</v>
      </c>
      <c r="P5" s="388">
        <f>IF(A!O7=1,A!O$2,"")</f>
      </c>
      <c r="Q5" s="388">
        <f>IF(F!D6=5,F!B6,"")</f>
      </c>
      <c r="R5" s="388" t="str">
        <f>IF(A!U7&lt;5,A!B7&amp;" "&amp;A!U7,"")</f>
        <v>Veselinović Nemanja 3</v>
      </c>
    </row>
    <row r="6" spans="1:18" s="386" customFormat="1" ht="9" customHeight="1">
      <c r="A6" s="386" t="str">
        <f>IF(B!F8&gt;0,B!B8,"")</f>
        <v>Gligorijević Grigorije</v>
      </c>
      <c r="B6" s="389">
        <f>IF(B!F8&gt;0,B!F8,"")</f>
        <v>2</v>
      </c>
      <c r="C6" s="386">
        <f>IF(A!C8=1,A!C$2,"")</f>
      </c>
      <c r="D6" s="386">
        <f>IF(A!D8=1,A!D$2,"")</f>
      </c>
      <c r="E6" s="386">
        <f>IF(A!E8=1,A!E$2,"")</f>
      </c>
      <c r="F6" s="386">
        <f>IF(A!F8=1,A!F$2,"")</f>
      </c>
      <c r="G6" s="386">
        <f>IF(A!G8=1,A!G$2,"")</f>
      </c>
      <c r="H6" s="386">
        <f>IF(A!H8=1,A!H$2,"")</f>
      </c>
      <c r="I6" s="386" t="str">
        <f>IF(A!I8=1,A!I$2,"")</f>
        <v>fiz</v>
      </c>
      <c r="J6" s="386" t="str">
        <f>IF(A!J8=1,A!J$2,"")</f>
        <v>mat</v>
      </c>
      <c r="K6" s="386">
        <f>IF(A!K8=1,A!K$2,"")</f>
      </c>
      <c r="L6" s="386">
        <f>IF(A!L8=1,A!L$2,"")</f>
      </c>
      <c r="M6" s="386">
        <f>IF(A!M8=1,A!M$2,"")</f>
      </c>
      <c r="N6" s="386">
        <f>IF(A!N8=1,A!N$2,"")</f>
      </c>
      <c r="O6" s="388">
        <f>IF(A!P8=1,A!P$2,"")</f>
      </c>
      <c r="P6" s="388">
        <f>IF(A!O8=1,A!O$2,"")</f>
      </c>
      <c r="Q6" s="388">
        <f>IF(F!D7=5,F!B7,"")</f>
      </c>
      <c r="R6" s="388">
        <f>IF(A!U8&lt;5,A!B8&amp;" "&amp;A!U8,"")</f>
      </c>
    </row>
    <row r="7" spans="1:18" s="386" customFormat="1" ht="9" customHeight="1">
      <c r="A7" s="386" t="str">
        <f>IF(B!F9&gt;0,B!B9,"")</f>
        <v>Djordjević Ivana</v>
      </c>
      <c r="B7" s="389">
        <f>IF(B!F9&gt;0,B!F9,"")</f>
        <v>1</v>
      </c>
      <c r="C7" s="386">
        <f>IF(A!C9=1,A!C$2,"")</f>
      </c>
      <c r="D7" s="386">
        <f>IF(A!D9=1,A!D$2,"")</f>
      </c>
      <c r="E7" s="386">
        <f>IF(A!E9=1,A!E$2,"")</f>
      </c>
      <c r="F7" s="386">
        <f>IF(A!F9=1,A!F$2,"")</f>
      </c>
      <c r="G7" s="386">
        <f>IF(A!G9=1,A!G$2,"")</f>
      </c>
      <c r="H7" s="386">
        <f>IF(A!H9=1,A!H$2,"")</f>
      </c>
      <c r="I7" s="386">
        <f>IF(A!I9=1,A!I$2,"")</f>
      </c>
      <c r="J7" s="386">
        <f>IF(A!J9=1,A!J$2,"")</f>
      </c>
      <c r="K7" s="386">
        <f>IF(A!K9=1,A!K$2,"")</f>
      </c>
      <c r="L7" s="386">
        <f>IF(A!L9=1,A!L$2,"")</f>
      </c>
      <c r="M7" s="386">
        <f>IF(A!M9=1,A!M$2,"")</f>
      </c>
      <c r="N7" s="386">
        <f>IF(A!N9=1,A!N$2,"")</f>
      </c>
      <c r="O7" s="388" t="str">
        <f>IF(A!P9=1,A!P$2,"")</f>
        <v>dsj</v>
      </c>
      <c r="P7" s="388">
        <f>IF(A!O9=1,A!O$2,"")</f>
      </c>
      <c r="Q7" s="388">
        <f>IF(F!D8=5,F!B8,"")</f>
      </c>
      <c r="R7" s="388">
        <f>IF(A!U9&lt;5,A!B9&amp;" "&amp;A!U9,"")</f>
      </c>
    </row>
    <row r="8" spans="1:18" s="386" customFormat="1" ht="9" customHeight="1">
      <c r="A8" s="386">
        <f>IF(B!F10&gt;0,B!B10,"")</f>
      </c>
      <c r="B8" s="389">
        <f>IF(B!F10&gt;0,B!F10,"")</f>
      </c>
      <c r="C8" s="386">
        <f>IF(A!C10=1,A!C$2,"")</f>
      </c>
      <c r="D8" s="386">
        <f>IF(A!D10=1,A!D$2,"")</f>
      </c>
      <c r="E8" s="386">
        <f>IF(A!E10=1,A!E$2,"")</f>
      </c>
      <c r="F8" s="386">
        <f>IF(A!F10=1,A!F$2,"")</f>
      </c>
      <c r="G8" s="386">
        <f>IF(A!G10=1,A!G$2,"")</f>
      </c>
      <c r="H8" s="386">
        <f>IF(A!H10=1,A!H$2,"")</f>
      </c>
      <c r="I8" s="386">
        <f>IF(A!I10=1,A!I$2,"")</f>
      </c>
      <c r="J8" s="386">
        <f>IF(A!J10=1,A!J$2,"")</f>
      </c>
      <c r="K8" s="386">
        <f>IF(A!K10=1,A!K$2,"")</f>
      </c>
      <c r="L8" s="386">
        <f>IF(A!L10=1,A!L$2,"")</f>
      </c>
      <c r="M8" s="386">
        <f>IF(A!M10=1,A!M$2,"")</f>
      </c>
      <c r="N8" s="386">
        <f>IF(A!N10=1,A!N$2,"")</f>
      </c>
      <c r="O8" s="388">
        <f>IF(A!P10=1,A!P$2,"")</f>
      </c>
      <c r="P8" s="388">
        <f>IF(A!O10=1,A!O$2,"")</f>
      </c>
      <c r="Q8" s="388">
        <f>IF(F!D9=5,F!B9,"")</f>
      </c>
      <c r="R8" s="388">
        <f>IF(A!U10&lt;5,A!B10&amp;" "&amp;A!U10,"")</f>
      </c>
    </row>
    <row r="9" spans="1:18" s="386" customFormat="1" ht="9" customHeight="1">
      <c r="A9" s="386">
        <f>IF(B!F11&gt;0,B!B11,"")</f>
      </c>
      <c r="B9" s="389">
        <f>IF(B!F11&gt;0,B!F11,"")</f>
      </c>
      <c r="C9" s="386">
        <f>IF(A!C11=1,A!C$2,"")</f>
      </c>
      <c r="D9" s="386">
        <f>IF(A!D11=1,A!D$2,"")</f>
      </c>
      <c r="E9" s="386">
        <f>IF(A!E11=1,A!E$2,"")</f>
      </c>
      <c r="F9" s="386">
        <f>IF(A!F11=1,A!F$2,"")</f>
      </c>
      <c r="G9" s="386">
        <f>IF(A!G11=1,A!G$2,"")</f>
      </c>
      <c r="H9" s="386">
        <f>IF(A!H11=1,A!H$2,"")</f>
      </c>
      <c r="I9" s="386">
        <f>IF(A!I11=1,A!I$2,"")</f>
      </c>
      <c r="J9" s="386">
        <f>IF(A!J11=1,A!J$2,"")</f>
      </c>
      <c r="K9" s="386">
        <f>IF(A!K11=1,A!K$2,"")</f>
      </c>
      <c r="L9" s="386">
        <f>IF(A!L11=1,A!L$2,"")</f>
      </c>
      <c r="M9" s="386">
        <f>IF(A!M11=1,A!M$2,"")</f>
      </c>
      <c r="N9" s="386">
        <f>IF(A!N11=1,A!N$2,"")</f>
      </c>
      <c r="O9" s="388">
        <f>IF(A!P11=1,A!P$2,"")</f>
      </c>
      <c r="P9" s="388">
        <f>IF(A!O11=1,A!O$2,"")</f>
      </c>
      <c r="Q9" s="388" t="str">
        <f>IF(F!D10=5,F!B10,"")</f>
        <v>Jelisavac Jovana</v>
      </c>
      <c r="R9" s="388">
        <f>IF(A!U11&lt;5,A!B11&amp;" "&amp;A!U11,"")</f>
      </c>
    </row>
    <row r="10" spans="1:18" s="386" customFormat="1" ht="9" customHeight="1">
      <c r="A10" s="386">
        <f>IF(B!F12&gt;0,B!B12,"")</f>
      </c>
      <c r="B10" s="389">
        <f>IF(B!F12&gt;0,B!F12,"")</f>
      </c>
      <c r="C10" s="386">
        <f>IF(A!C12=1,A!C$2,"")</f>
      </c>
      <c r="D10" s="386">
        <f>IF(A!D12=1,A!D$2,"")</f>
      </c>
      <c r="E10" s="386">
        <f>IF(A!E12=1,A!E$2,"")</f>
      </c>
      <c r="F10" s="386">
        <f>IF(A!F12=1,A!F$2,"")</f>
      </c>
      <c r="G10" s="386">
        <f>IF(A!G12=1,A!G$2,"")</f>
      </c>
      <c r="H10" s="386">
        <f>IF(A!H12=1,A!H$2,"")</f>
      </c>
      <c r="I10" s="386">
        <f>IF(A!I12=1,A!I$2,"")</f>
      </c>
      <c r="J10" s="386">
        <f>IF(A!J12=1,A!J$2,"")</f>
      </c>
      <c r="K10" s="386">
        <f>IF(A!K12=1,A!K$2,"")</f>
      </c>
      <c r="L10" s="386">
        <f>IF(A!L12=1,A!L$2,"")</f>
      </c>
      <c r="M10" s="386">
        <f>IF(A!M12=1,A!M$2,"")</f>
      </c>
      <c r="N10" s="386">
        <f>IF(A!N12=1,A!N$2,"")</f>
      </c>
      <c r="O10" s="388">
        <f>IF(A!P12=1,A!P$2,"")</f>
      </c>
      <c r="P10" s="388">
        <f>IF(A!O12=1,A!O$2,"")</f>
      </c>
      <c r="Q10" s="388">
        <f>IF(F!D11=5,F!B11,"")</f>
      </c>
      <c r="R10" s="388">
        <f>IF(A!U12&lt;5,A!B12&amp;" "&amp;A!U12,"")</f>
      </c>
    </row>
    <row r="11" spans="1:18" s="386" customFormat="1" ht="9" customHeight="1">
      <c r="A11" s="386" t="str">
        <f>IF(B!F13&gt;0,B!B13,"")</f>
        <v>Lazarević Milena</v>
      </c>
      <c r="B11" s="389">
        <f>IF(B!F13&gt;0,B!F13,"")</f>
        <v>2</v>
      </c>
      <c r="C11" s="386">
        <f>IF(A!C13=1,A!C$2,"")</f>
      </c>
      <c r="D11" s="386">
        <f>IF(A!D13=1,A!D$2,"")</f>
      </c>
      <c r="E11" s="386">
        <f>IF(A!E13=1,A!E$2,"")</f>
      </c>
      <c r="F11" s="386">
        <f>IF(A!F13=1,A!F$2,"")</f>
      </c>
      <c r="G11" s="386">
        <f>IF(A!G13=1,A!G$2,"")</f>
      </c>
      <c r="H11" s="386">
        <f>IF(A!H13=1,A!H$2,"")</f>
      </c>
      <c r="I11" s="386" t="str">
        <f>IF(A!I13=1,A!I$2,"")</f>
        <v>fiz</v>
      </c>
      <c r="J11" s="386" t="str">
        <f>IF(A!J13=1,A!J$2,"")</f>
        <v>mat</v>
      </c>
      <c r="K11" s="386">
        <f>IF(A!K13=1,A!K$2,"")</f>
      </c>
      <c r="L11" s="386">
        <f>IF(A!L13=1,A!L$2,"")</f>
      </c>
      <c r="M11" s="386">
        <f>IF(A!M13=1,A!M$2,"")</f>
      </c>
      <c r="N11" s="386">
        <f>IF(A!N13=1,A!N$2,"")</f>
      </c>
      <c r="O11" s="388">
        <f>IF(A!P13=1,A!P$2,"")</f>
      </c>
      <c r="P11" s="388">
        <f>IF(A!O13=1,A!O$2,"")</f>
      </c>
      <c r="Q11" s="388">
        <f>IF(F!D12=5,F!B12,"")</f>
      </c>
      <c r="R11" s="388" t="str">
        <f>IF(A!U13&lt;5,A!B13&amp;" "&amp;A!U13,"")</f>
        <v>Lazarević Milena 4</v>
      </c>
    </row>
    <row r="12" spans="1:18" s="386" customFormat="1" ht="9" customHeight="1">
      <c r="A12" s="386">
        <f>IF(B!F14&gt;0,B!B14,"")</f>
      </c>
      <c r="B12" s="389">
        <f>IF(B!F14&gt;0,B!F14,"")</f>
      </c>
      <c r="C12" s="386">
        <f>IF(A!C14=1,A!C$2,"")</f>
      </c>
      <c r="D12" s="386">
        <f>IF(A!D14=1,A!D$2,"")</f>
      </c>
      <c r="E12" s="386">
        <f>IF(A!E14=1,A!E$2,"")</f>
      </c>
      <c r="F12" s="386">
        <f>IF(A!F14=1,A!F$2,"")</f>
      </c>
      <c r="G12" s="386">
        <f>IF(A!G14=1,A!G$2,"")</f>
      </c>
      <c r="H12" s="386">
        <f>IF(A!H14=1,A!H$2,"")</f>
      </c>
      <c r="I12" s="386">
        <f>IF(A!I14=1,A!I$2,"")</f>
      </c>
      <c r="J12" s="386">
        <f>IF(A!J14=1,A!J$2,"")</f>
      </c>
      <c r="K12" s="386">
        <f>IF(A!K14=1,A!K$2,"")</f>
      </c>
      <c r="L12" s="386">
        <f>IF(A!L14=1,A!L$2,"")</f>
      </c>
      <c r="M12" s="386">
        <f>IF(A!M14=1,A!M$2,"")</f>
      </c>
      <c r="N12" s="386">
        <f>IF(A!N14=1,A!N$2,"")</f>
      </c>
      <c r="O12" s="388">
        <f>IF(A!P14=1,A!P$2,"")</f>
      </c>
      <c r="P12" s="388">
        <f>IF(A!O14=1,A!O$2,"")</f>
      </c>
      <c r="Q12" s="388">
        <f>IF(F!D13=5,F!B13,"")</f>
      </c>
      <c r="R12" s="388">
        <f>IF(A!U14&lt;5,A!B14&amp;" "&amp;A!U14,"")</f>
      </c>
    </row>
    <row r="13" spans="1:18" s="386" customFormat="1" ht="9" customHeight="1">
      <c r="A13" s="386">
        <f>IF(B!F15&gt;0,B!B15,"")</f>
      </c>
      <c r="B13" s="389">
        <f>IF(B!F15&gt;0,B!F15,"")</f>
      </c>
      <c r="C13" s="386">
        <f>IF(A!C15=1,A!C$2,"")</f>
      </c>
      <c r="D13" s="386">
        <f>IF(A!D15=1,A!D$2,"")</f>
      </c>
      <c r="E13" s="386">
        <f>IF(A!E15=1,A!E$2,"")</f>
      </c>
      <c r="F13" s="386">
        <f>IF(A!F15=1,A!F$2,"")</f>
      </c>
      <c r="G13" s="386">
        <f>IF(A!G15=1,A!G$2,"")</f>
      </c>
      <c r="H13" s="386">
        <f>IF(A!H15=1,A!H$2,"")</f>
      </c>
      <c r="I13" s="386">
        <f>IF(A!I15=1,A!I$2,"")</f>
      </c>
      <c r="J13" s="386">
        <f>IF(A!J15=1,A!J$2,"")</f>
      </c>
      <c r="K13" s="386">
        <f>IF(A!K15=1,A!K$2,"")</f>
      </c>
      <c r="L13" s="386">
        <f>IF(A!L15=1,A!L$2,"")</f>
      </c>
      <c r="M13" s="386">
        <f>IF(A!M15=1,A!M$2,"")</f>
      </c>
      <c r="N13" s="386">
        <f>IF(A!N15=1,A!N$2,"")</f>
      </c>
      <c r="O13" s="388">
        <f>IF(A!P15=1,A!P$2,"")</f>
      </c>
      <c r="P13" s="388">
        <f>IF(A!O15=1,A!O$2,"")</f>
      </c>
      <c r="Q13" s="388">
        <f>IF(F!D14=5,F!B14,"")</f>
      </c>
      <c r="R13" s="388">
        <f>IF(A!U15&lt;5,A!B15&amp;" "&amp;A!U15,"")</f>
      </c>
    </row>
    <row r="14" spans="1:18" s="386" customFormat="1" ht="9" customHeight="1">
      <c r="A14" s="386">
        <f>IF(B!F16&gt;0,B!B16,"")</f>
      </c>
      <c r="B14" s="389">
        <f>IF(B!F16&gt;0,B!F16,"")</f>
      </c>
      <c r="C14" s="386">
        <f>IF(A!C16=1,A!C$2,"")</f>
      </c>
      <c r="D14" s="386">
        <f>IF(A!D16=1,A!D$2,"")</f>
      </c>
      <c r="E14" s="386">
        <f>IF(A!E16=1,A!E$2,"")</f>
      </c>
      <c r="F14" s="386">
        <f>IF(A!F16=1,A!F$2,"")</f>
      </c>
      <c r="G14" s="386">
        <f>IF(A!G16=1,A!G$2,"")</f>
      </c>
      <c r="H14" s="386">
        <f>IF(A!H16=1,A!H$2,"")</f>
      </c>
      <c r="I14" s="386">
        <f>IF(A!I16=1,A!I$2,"")</f>
      </c>
      <c r="J14" s="386">
        <f>IF(A!J16=1,A!J$2,"")</f>
      </c>
      <c r="K14" s="386">
        <f>IF(A!K16=1,A!K$2,"")</f>
      </c>
      <c r="L14" s="386">
        <f>IF(A!L16=1,A!L$2,"")</f>
      </c>
      <c r="M14" s="386">
        <f>IF(A!M16=1,A!M$2,"")</f>
      </c>
      <c r="N14" s="386">
        <f>IF(A!N16=1,A!N$2,"")</f>
      </c>
      <c r="O14" s="388">
        <f>IF(A!P16=1,A!P$2,"")</f>
      </c>
      <c r="P14" s="388">
        <f>IF(A!O16=1,A!O$2,"")</f>
      </c>
      <c r="Q14" s="388">
        <f>IF(F!D15=5,F!B15,"")</f>
      </c>
      <c r="R14" s="388">
        <f>IF(A!U16&lt;5,A!B16&amp;" "&amp;A!U16,"")</f>
      </c>
    </row>
    <row r="15" spans="1:18" s="386" customFormat="1" ht="9" customHeight="1">
      <c r="A15" s="386" t="str">
        <f>IF(B!F17&gt;0,B!B17,"")</f>
        <v>Milošević Stefan</v>
      </c>
      <c r="B15" s="389">
        <f>IF(B!F17&gt;0,B!F17,"")</f>
        <v>3</v>
      </c>
      <c r="C15" s="386" t="str">
        <f>IF(A!C17=1,A!C$2,"")</f>
        <v>srp</v>
      </c>
      <c r="D15" s="386">
        <f>IF(A!D17=1,A!D$2,"")</f>
      </c>
      <c r="E15" s="386">
        <f>IF(A!E17=1,A!E$2,"")</f>
      </c>
      <c r="F15" s="386">
        <f>IF(A!F17=1,A!F$2,"")</f>
      </c>
      <c r="G15" s="386">
        <f>IF(A!G17=1,A!G$2,"")</f>
      </c>
      <c r="H15" s="386">
        <f>IF(A!H17=1,A!H$2,"")</f>
      </c>
      <c r="I15" s="386" t="str">
        <f>IF(A!I17=1,A!I$2,"")</f>
        <v>fiz</v>
      </c>
      <c r="J15" s="386" t="str">
        <f>IF(A!J17=1,A!J$2,"")</f>
        <v>mat</v>
      </c>
      <c r="K15" s="386">
        <f>IF(A!K17=1,A!K$2,"")</f>
      </c>
      <c r="L15" s="386">
        <f>IF(A!L17=1,A!L$2,"")</f>
      </c>
      <c r="M15" s="386">
        <f>IF(A!M17=1,A!M$2,"")</f>
      </c>
      <c r="N15" s="386">
        <f>IF(A!N17=1,A!N$2,"")</f>
      </c>
      <c r="O15" s="388">
        <f>IF(A!P17=1,A!P$2,"")</f>
      </c>
      <c r="P15" s="388">
        <f>IF(A!O17=1,A!O$2,"")</f>
      </c>
      <c r="Q15" s="388">
        <f>IF(F!D16=5,F!B16,"")</f>
      </c>
      <c r="R15" s="388" t="str">
        <f>IF(A!U17&lt;5,A!B17&amp;" "&amp;A!U17,"")</f>
        <v>Milošević Stefan 4</v>
      </c>
    </row>
    <row r="16" spans="1:18" s="386" customFormat="1" ht="9" customHeight="1">
      <c r="A16" s="386">
        <f>IF(B!F18&gt;0,B!B18,"")</f>
      </c>
      <c r="B16" s="389">
        <f>IF(B!F18&gt;0,B!F18,"")</f>
      </c>
      <c r="C16" s="386">
        <f>IF(A!C18=1,A!C$2,"")</f>
      </c>
      <c r="D16" s="386">
        <f>IF(A!D18=1,A!D$2,"")</f>
      </c>
      <c r="E16" s="386">
        <f>IF(A!E18=1,A!E$2,"")</f>
      </c>
      <c r="F16" s="386">
        <f>IF(A!F18=1,A!F$2,"")</f>
      </c>
      <c r="G16" s="386">
        <f>IF(A!G18=1,A!G$2,"")</f>
      </c>
      <c r="H16" s="386">
        <f>IF(A!H18=1,A!H$2,"")</f>
      </c>
      <c r="I16" s="386">
        <f>IF(A!I18=1,A!I$2,"")</f>
      </c>
      <c r="J16" s="386">
        <f>IF(A!J18=1,A!J$2,"")</f>
      </c>
      <c r="K16" s="386">
        <f>IF(A!K18=1,A!K$2,"")</f>
      </c>
      <c r="L16" s="386">
        <f>IF(A!L18=1,A!L$2,"")</f>
      </c>
      <c r="M16" s="386">
        <f>IF(A!M18=1,A!M$2,"")</f>
      </c>
      <c r="N16" s="386">
        <f>IF(A!N18=1,A!N$2,"")</f>
      </c>
      <c r="O16" s="388">
        <f>IF(A!P18=1,A!P$2,"")</f>
      </c>
      <c r="P16" s="388">
        <f>IF(A!O18=1,A!O$2,"")</f>
      </c>
      <c r="Q16" s="388">
        <f>IF(F!D17=5,F!B17,"")</f>
      </c>
      <c r="R16" s="388">
        <f>IF(A!U18&lt;5,A!B18&amp;" "&amp;A!U18,"")</f>
      </c>
    </row>
    <row r="17" spans="1:18" s="386" customFormat="1" ht="9" customHeight="1">
      <c r="A17" s="386">
        <f>IF(B!F19&gt;0,B!B19,"")</f>
      </c>
      <c r="B17" s="389">
        <f>IF(B!F19&gt;0,B!F19,"")</f>
      </c>
      <c r="C17" s="386">
        <f>IF(A!C19=1,A!C$2,"")</f>
      </c>
      <c r="D17" s="386">
        <f>IF(A!D19=1,A!D$2,"")</f>
      </c>
      <c r="E17" s="386">
        <f>IF(A!E19=1,A!E$2,"")</f>
      </c>
      <c r="F17" s="386">
        <f>IF(A!F19=1,A!F$2,"")</f>
      </c>
      <c r="G17" s="386">
        <f>IF(A!G19=1,A!G$2,"")</f>
      </c>
      <c r="H17" s="386">
        <f>IF(A!H19=1,A!H$2,"")</f>
      </c>
      <c r="I17" s="386">
        <f>IF(A!I19=1,A!I$2,"")</f>
      </c>
      <c r="J17" s="386">
        <f>IF(A!J19=1,A!J$2,"")</f>
      </c>
      <c r="K17" s="386">
        <f>IF(A!K19=1,A!K$2,"")</f>
      </c>
      <c r="L17" s="386">
        <f>IF(A!L19=1,A!L$2,"")</f>
      </c>
      <c r="M17" s="386">
        <f>IF(A!M19=1,A!M$2,"")</f>
      </c>
      <c r="N17" s="386">
        <f>IF(A!N19=1,A!N$2,"")</f>
      </c>
      <c r="O17" s="388">
        <f>IF(A!P19=1,A!P$2,"")</f>
      </c>
      <c r="P17" s="388">
        <f>IF(A!O19=1,A!O$2,"")</f>
      </c>
      <c r="Q17" s="388">
        <f>IF(F!D18=5,F!B18,"")</f>
      </c>
      <c r="R17" s="388">
        <f>IF(A!U19&lt;5,A!B19&amp;" "&amp;A!U19,"")</f>
      </c>
    </row>
    <row r="18" spans="1:18" s="386" customFormat="1" ht="9" customHeight="1">
      <c r="A18" s="386">
        <f>IF(B!F20&gt;0,B!B20,"")</f>
      </c>
      <c r="B18" s="389">
        <f>IF(B!F20&gt;0,B!F20,"")</f>
      </c>
      <c r="C18" s="386">
        <f>IF(A!C20=1,A!C$2,"")</f>
      </c>
      <c r="D18" s="386">
        <f>IF(A!D20=1,A!D$2,"")</f>
      </c>
      <c r="E18" s="386">
        <f>IF(A!E20=1,A!E$2,"")</f>
      </c>
      <c r="F18" s="386">
        <f>IF(A!F20=1,A!F$2,"")</f>
      </c>
      <c r="G18" s="386">
        <f>IF(A!G20=1,A!G$2,"")</f>
      </c>
      <c r="H18" s="386">
        <f>IF(A!H20=1,A!H$2,"")</f>
      </c>
      <c r="I18" s="386">
        <f>IF(A!I20=1,A!I$2,"")</f>
      </c>
      <c r="J18" s="386">
        <f>IF(A!J20=1,A!J$2,"")</f>
      </c>
      <c r="K18" s="386">
        <f>IF(A!K20=1,A!K$2,"")</f>
      </c>
      <c r="L18" s="386">
        <f>IF(A!L20=1,A!L$2,"")</f>
      </c>
      <c r="M18" s="386">
        <f>IF(A!M20=1,A!M$2,"")</f>
      </c>
      <c r="N18" s="386">
        <f>IF(A!N20=1,A!N$2,"")</f>
      </c>
      <c r="O18" s="388">
        <f>IF(A!P20=1,A!P$2,"")</f>
      </c>
      <c r="P18" s="388">
        <f>IF(A!O20=1,A!O$2,"")</f>
      </c>
      <c r="Q18" s="388" t="str">
        <f>IF(F!D19=5,F!B19,"")</f>
        <v>Poček Sonja</v>
      </c>
      <c r="R18" s="388">
        <f>IF(A!U20&lt;5,A!B20&amp;" "&amp;A!U20,"")</f>
      </c>
    </row>
    <row r="19" spans="1:18" s="386" customFormat="1" ht="9" customHeight="1">
      <c r="A19" s="386" t="str">
        <f>IF(B!F21&gt;0,B!B21,"")</f>
        <v>Rozman Marko</v>
      </c>
      <c r="B19" s="389">
        <f>IF(B!F21&gt;0,B!F21,"")</f>
        <v>2</v>
      </c>
      <c r="C19" s="386">
        <f>IF(A!C21=1,A!C$2,"")</f>
      </c>
      <c r="D19" s="386">
        <f>IF(A!D21=1,A!D$2,"")</f>
      </c>
      <c r="E19" s="386">
        <f>IF(A!E21=1,A!E$2,"")</f>
      </c>
      <c r="F19" s="386">
        <f>IF(A!F21=1,A!F$2,"")</f>
      </c>
      <c r="G19" s="386">
        <f>IF(A!G21=1,A!G$2,"")</f>
      </c>
      <c r="H19" s="386">
        <f>IF(A!H21=1,A!H$2,"")</f>
      </c>
      <c r="I19" s="386" t="str">
        <f>IF(A!I21=1,A!I$2,"")</f>
        <v>fiz</v>
      </c>
      <c r="J19" s="386" t="str">
        <f>IF(A!J21=1,A!J$2,"")</f>
        <v>mat</v>
      </c>
      <c r="K19" s="386">
        <f>IF(A!K21=1,A!K$2,"")</f>
      </c>
      <c r="L19" s="386">
        <f>IF(A!L21=1,A!L$2,"")</f>
      </c>
      <c r="M19" s="386">
        <f>IF(A!M21=1,A!M$2,"")</f>
      </c>
      <c r="N19" s="386">
        <f>IF(A!N21=1,A!N$2,"")</f>
      </c>
      <c r="O19" s="388">
        <f>IF(A!P21=1,A!P$2,"")</f>
      </c>
      <c r="P19" s="388">
        <f>IF(A!O21=1,A!O$2,"")</f>
      </c>
      <c r="Q19" s="388">
        <f>IF(F!D20=5,F!B20,"")</f>
      </c>
      <c r="R19" s="388" t="str">
        <f>IF(A!U21&lt;5,A!B21&amp;" "&amp;A!U21,"")</f>
        <v>Rozman Marko 4</v>
      </c>
    </row>
    <row r="20" spans="1:18" s="386" customFormat="1" ht="9" customHeight="1">
      <c r="A20" s="386">
        <f>IF(B!F22&gt;0,B!B22,"")</f>
      </c>
      <c r="B20" s="389">
        <f>IF(B!F22&gt;0,B!F22,"")</f>
      </c>
      <c r="C20" s="386">
        <f>IF(A!C22=1,A!C$2,"")</f>
      </c>
      <c r="D20" s="386">
        <f>IF(A!D22=1,A!D$2,"")</f>
      </c>
      <c r="E20" s="386">
        <f>IF(A!E22=1,A!E$2,"")</f>
      </c>
      <c r="F20" s="386">
        <f>IF(A!F22=1,A!F$2,"")</f>
      </c>
      <c r="G20" s="386">
        <f>IF(A!G22=1,A!G$2,"")</f>
      </c>
      <c r="H20" s="386">
        <f>IF(A!H22=1,A!H$2,"")</f>
      </c>
      <c r="I20" s="386">
        <f>IF(A!I22=1,A!I$2,"")</f>
      </c>
      <c r="J20" s="386">
        <f>IF(A!J22=1,A!J$2,"")</f>
      </c>
      <c r="K20" s="386">
        <f>IF(A!K22=1,A!K$2,"")</f>
      </c>
      <c r="L20" s="386">
        <f>IF(A!L22=1,A!L$2,"")</f>
      </c>
      <c r="M20" s="386">
        <f>IF(A!M22=1,A!M$2,"")</f>
      </c>
      <c r="N20" s="386">
        <f>IF(A!N22=1,A!N$2,"")</f>
      </c>
      <c r="O20" s="388">
        <f>IF(A!P22=1,A!P$2,"")</f>
      </c>
      <c r="P20" s="388">
        <f>IF(A!O22=1,A!O$2,"")</f>
      </c>
      <c r="Q20" s="388">
        <f>IF(F!D21=5,F!B21,"")</f>
      </c>
      <c r="R20" s="388">
        <f>IF(A!U22&lt;5,A!B22&amp;" "&amp;A!U22,"")</f>
      </c>
    </row>
    <row r="21" spans="1:18" s="386" customFormat="1" ht="9" customHeight="1">
      <c r="A21" s="386" t="str">
        <f>IF(B!F23&gt;0,B!B23,"")</f>
        <v>Tadić Vesna</v>
      </c>
      <c r="B21" s="389">
        <f>IF(B!F23&gt;0,B!F23,"")</f>
        <v>3</v>
      </c>
      <c r="C21" s="386">
        <f>IF(A!C23=1,A!C$2,"")</f>
      </c>
      <c r="D21" s="386" t="str">
        <f>IF(A!D23=1,A!D$2,"")</f>
        <v>psj</v>
      </c>
      <c r="E21" s="386">
        <f>IF(A!E23=1,A!E$2,"")</f>
      </c>
      <c r="F21" s="386">
        <f>IF(A!F23=1,A!F$2,"")</f>
      </c>
      <c r="G21" s="386" t="str">
        <f>IF(A!G23=1,A!G$2,"")</f>
        <v>ist</v>
      </c>
      <c r="H21" s="386">
        <f>IF(A!H23=1,A!H$2,"")</f>
      </c>
      <c r="I21" s="386">
        <f>IF(A!I23=1,A!I$2,"")</f>
      </c>
      <c r="J21" s="386" t="str">
        <f>IF(A!J23=1,A!J$2,"")</f>
        <v>mat</v>
      </c>
      <c r="K21" s="386">
        <f>IF(A!K23=1,A!K$2,"")</f>
      </c>
      <c r="L21" s="386">
        <f>IF(A!L23=1,A!L$2,"")</f>
      </c>
      <c r="M21" s="386">
        <f>IF(A!M23=1,A!M$2,"")</f>
      </c>
      <c r="N21" s="386">
        <f>IF(A!N23=1,A!N$2,"")</f>
      </c>
      <c r="O21" s="388">
        <f>IF(A!P23=1,A!P$2,"")</f>
      </c>
      <c r="P21" s="388">
        <f>IF(A!O23=1,A!O$2,"")</f>
      </c>
      <c r="Q21" s="388">
        <f>IF(F!D22=5,F!B22,"")</f>
      </c>
      <c r="R21" s="388">
        <f>IF(A!U23&lt;5,A!B23&amp;" "&amp;A!U23,"")</f>
      </c>
    </row>
    <row r="22" spans="1:18" s="386" customFormat="1" ht="9" customHeight="1">
      <c r="A22" s="386">
        <f>IF(B!F24&gt;0,B!B24,"")</f>
      </c>
      <c r="B22" s="389">
        <f>IF(B!F24&gt;0,B!F24,"")</f>
      </c>
      <c r="C22" s="386">
        <f>IF(A!C24=1,A!C$2,"")</f>
      </c>
      <c r="D22" s="386">
        <f>IF(A!D24=1,A!D$2,"")</f>
      </c>
      <c r="E22" s="386">
        <f>IF(A!E24=1,A!E$2,"")</f>
      </c>
      <c r="F22" s="386">
        <f>IF(A!F24=1,A!F$2,"")</f>
      </c>
      <c r="G22" s="386">
        <f>IF(A!G24=1,A!G$2,"")</f>
      </c>
      <c r="H22" s="386">
        <f>IF(A!H24=1,A!H$2,"")</f>
      </c>
      <c r="I22" s="386">
        <f>IF(A!I24=1,A!I$2,"")</f>
      </c>
      <c r="J22" s="386">
        <f>IF(A!J24=1,A!J$2,"")</f>
      </c>
      <c r="K22" s="386">
        <f>IF(A!K24=1,A!K$2,"")</f>
      </c>
      <c r="L22" s="386">
        <f>IF(A!L24=1,A!L$2,"")</f>
      </c>
      <c r="M22" s="386">
        <f>IF(A!M24=1,A!M$2,"")</f>
      </c>
      <c r="N22" s="386">
        <f>IF(A!N24=1,A!N$2,"")</f>
      </c>
      <c r="O22" s="388">
        <f>IF(A!P24=1,A!P$2,"")</f>
      </c>
      <c r="P22" s="388">
        <f>IF(A!O24=1,A!O$2,"")</f>
      </c>
      <c r="Q22" s="388">
        <f>IF(F!D23=5,F!B23,"")</f>
      </c>
      <c r="R22" s="388">
        <f>IF(A!U24&lt;5,A!B24&amp;" "&amp;A!U24,"")</f>
      </c>
    </row>
    <row r="23" spans="1:18" s="386" customFormat="1" ht="9" customHeight="1">
      <c r="A23" s="386" t="str">
        <f>IF(B!F25&gt;0,B!B25,"")</f>
        <v> </v>
      </c>
      <c r="B23" s="389">
        <f>IF(B!F25&gt;0,B!F25,"")</f>
      </c>
      <c r="C23" s="386">
        <f>IF(A!C25=1,A!C$2,"")</f>
      </c>
      <c r="D23" s="386">
        <f>IF(A!D25=1,A!D$2,"")</f>
      </c>
      <c r="E23" s="386">
        <f>IF(A!E25=1,A!E$2,"")</f>
      </c>
      <c r="F23" s="386">
        <f>IF(A!F25=1,A!F$2,"")</f>
      </c>
      <c r="G23" s="386">
        <f>IF(A!G25=1,A!G$2,"")</f>
      </c>
      <c r="H23" s="386">
        <f>IF(A!H25=1,A!H$2,"")</f>
      </c>
      <c r="I23" s="386">
        <f>IF(A!I25=1,A!I$2,"")</f>
      </c>
      <c r="J23" s="386">
        <f>IF(A!J25=1,A!J$2,"")</f>
      </c>
      <c r="K23" s="386">
        <f>IF(A!K25=1,A!K$2,"")</f>
      </c>
      <c r="L23" s="386">
        <f>IF(A!L25=1,A!L$2,"")</f>
      </c>
      <c r="M23" s="386">
        <f>IF(A!M25=1,A!M$2,"")</f>
      </c>
      <c r="N23" s="386">
        <f>IF(A!N25=1,A!N$2,"")</f>
      </c>
      <c r="O23" s="388">
        <f>IF(A!P25=1,A!P$2,"")</f>
      </c>
      <c r="P23" s="388">
        <f>IF(A!O25=1,A!O$2,"")</f>
      </c>
      <c r="Q23" s="388">
        <f>IF(F!D24=5,F!B24,"")</f>
      </c>
      <c r="R23" s="388">
        <f>IF(A!U25&lt;5,A!B25&amp;" "&amp;A!U25,"")</f>
      </c>
    </row>
    <row r="24" spans="1:18" s="386" customFormat="1" ht="9" customHeight="1">
      <c r="A24" s="386" t="str">
        <f>IF(B!F26&gt;0,B!B26,"")</f>
        <v> </v>
      </c>
      <c r="B24" s="389">
        <f>IF(B!F26&gt;0,B!F26,"")</f>
      </c>
      <c r="C24" s="386">
        <f>IF(A!C26=1,A!C$2,"")</f>
      </c>
      <c r="D24" s="386">
        <f>IF(A!D26=1,A!D$2,"")</f>
      </c>
      <c r="E24" s="386">
        <f>IF(A!E26=1,A!E$2,"")</f>
      </c>
      <c r="F24" s="386">
        <f>IF(A!F26=1,A!F$2,"")</f>
      </c>
      <c r="G24" s="386">
        <f>IF(A!G26=1,A!G$2,"")</f>
      </c>
      <c r="H24" s="386">
        <f>IF(A!H26=1,A!H$2,"")</f>
      </c>
      <c r="I24" s="386">
        <f>IF(A!I26=1,A!I$2,"")</f>
      </c>
      <c r="J24" s="386">
        <f>IF(A!J26=1,A!J$2,"")</f>
      </c>
      <c r="K24" s="386">
        <f>IF(A!K26=1,A!K$2,"")</f>
      </c>
      <c r="L24" s="386">
        <f>IF(A!L26=1,A!L$2,"")</f>
      </c>
      <c r="M24" s="386">
        <f>IF(A!M26=1,A!M$2,"")</f>
      </c>
      <c r="N24" s="386">
        <f>IF(A!N26=1,A!N$2,"")</f>
      </c>
      <c r="O24" s="388">
        <f>IF(A!P26=1,A!P$2,"")</f>
      </c>
      <c r="P24" s="388">
        <f>IF(A!O26=1,A!O$2,"")</f>
      </c>
      <c r="Q24" s="388">
        <f>IF(F!D25=5,F!B25,"")</f>
      </c>
      <c r="R24" s="388">
        <f>IF(A!U26&lt;5,A!B26&amp;" "&amp;A!U26,"")</f>
      </c>
    </row>
    <row r="25" spans="1:18" s="386" customFormat="1" ht="9" customHeight="1">
      <c r="A25" s="386" t="str">
        <f>IF(B!F27&gt;0,B!B27,"")</f>
        <v> </v>
      </c>
      <c r="B25" s="389">
        <f>IF(B!F27&gt;0,B!F27,"")</f>
      </c>
      <c r="C25" s="386">
        <f>IF(A!C27=1,A!C$2,"")</f>
      </c>
      <c r="D25" s="386">
        <f>IF(A!D27=1,A!D$2,"")</f>
      </c>
      <c r="E25" s="386">
        <f>IF(A!E27=1,A!E$2,"")</f>
      </c>
      <c r="F25" s="386">
        <f>IF(A!F27=1,A!F$2,"")</f>
      </c>
      <c r="G25" s="386">
        <f>IF(A!G27=1,A!G$2,"")</f>
      </c>
      <c r="H25" s="386">
        <f>IF(A!H27=1,A!H$2,"")</f>
      </c>
      <c r="I25" s="386">
        <f>IF(A!I27=1,A!I$2,"")</f>
      </c>
      <c r="J25" s="386">
        <f>IF(A!J27=1,A!J$2,"")</f>
      </c>
      <c r="K25" s="386">
        <f>IF(A!K27=1,A!K$2,"")</f>
      </c>
      <c r="L25" s="386">
        <f>IF(A!L27=1,A!L$2,"")</f>
      </c>
      <c r="M25" s="386">
        <f>IF(A!M27=1,A!M$2,"")</f>
      </c>
      <c r="N25" s="386">
        <f>IF(A!N27=1,A!N$2,"")</f>
      </c>
      <c r="O25" s="388">
        <f>IF(A!P27=1,A!P$2,"")</f>
      </c>
      <c r="P25" s="388">
        <f>IF(A!O27=1,A!O$2,"")</f>
      </c>
      <c r="Q25" s="388">
        <f>IF(F!D26=5,F!B26,"")</f>
      </c>
      <c r="R25" s="388">
        <f>IF(A!U27&lt;5,A!B27&amp;" "&amp;A!U27,"")</f>
      </c>
    </row>
    <row r="26" spans="1:18" s="386" customFormat="1" ht="9" customHeight="1">
      <c r="A26" s="386" t="str">
        <f>IF(B!F28&gt;0,B!B28,"")</f>
        <v> </v>
      </c>
      <c r="B26" s="389">
        <f>IF(B!F28&gt;0,B!F28,"")</f>
      </c>
      <c r="C26" s="386">
        <f>IF(A!C28=1,A!C$2,"")</f>
      </c>
      <c r="D26" s="386">
        <f>IF(A!D28=1,A!D$2,"")</f>
      </c>
      <c r="E26" s="386">
        <f>IF(A!E28=1,A!E$2,"")</f>
      </c>
      <c r="F26" s="386">
        <f>IF(A!F28=1,A!F$2,"")</f>
      </c>
      <c r="G26" s="386">
        <f>IF(A!G28=1,A!G$2,"")</f>
      </c>
      <c r="H26" s="386">
        <f>IF(A!H28=1,A!H$2,"")</f>
      </c>
      <c r="I26" s="386">
        <f>IF(A!I28=1,A!I$2,"")</f>
      </c>
      <c r="J26" s="386">
        <f>IF(A!J28=1,A!J$2,"")</f>
      </c>
      <c r="K26" s="386">
        <f>IF(A!K28=1,A!K$2,"")</f>
      </c>
      <c r="L26" s="386">
        <f>IF(A!L28=1,A!L$2,"")</f>
      </c>
      <c r="M26" s="386">
        <f>IF(A!M28=1,A!M$2,"")</f>
      </c>
      <c r="N26" s="386">
        <f>IF(A!N28=1,A!N$2,"")</f>
      </c>
      <c r="O26" s="388">
        <f>IF(A!P28=1,A!P$2,"")</f>
      </c>
      <c r="P26" s="388">
        <f>IF(A!O28=1,A!O$2,"")</f>
      </c>
      <c r="Q26" s="388">
        <f>IF(F!D27=5,F!B27,"")</f>
      </c>
      <c r="R26" s="388">
        <f>IF(A!U28&lt;5,A!B28&amp;" "&amp;A!U28,"")</f>
      </c>
    </row>
    <row r="27" spans="1:18" s="386" customFormat="1" ht="9" customHeight="1">
      <c r="A27" s="386" t="str">
        <f>IF(B!F29&gt;0,B!B29,"")</f>
        <v> </v>
      </c>
      <c r="B27" s="389">
        <f>IF(B!F29&gt;0,B!F29,"")</f>
      </c>
      <c r="C27" s="386">
        <f>IF(A!C29=1,A!C$2,"")</f>
      </c>
      <c r="D27" s="386">
        <f>IF(A!D29=1,A!D$2,"")</f>
      </c>
      <c r="E27" s="386">
        <f>IF(A!E29=1,A!E$2,"")</f>
      </c>
      <c r="F27" s="386">
        <f>IF(A!F29=1,A!F$2,"")</f>
      </c>
      <c r="G27" s="386">
        <f>IF(A!G29=1,A!G$2,"")</f>
      </c>
      <c r="H27" s="386">
        <f>IF(A!H29=1,A!H$2,"")</f>
      </c>
      <c r="I27" s="386">
        <f>IF(A!I29=1,A!I$2,"")</f>
      </c>
      <c r="J27" s="386">
        <f>IF(A!J29=1,A!J$2,"")</f>
      </c>
      <c r="K27" s="386">
        <f>IF(A!K29=1,A!K$2,"")</f>
      </c>
      <c r="L27" s="386">
        <f>IF(A!L29=1,A!L$2,"")</f>
      </c>
      <c r="M27" s="386">
        <f>IF(A!M29=1,A!M$2,"")</f>
      </c>
      <c r="N27" s="386">
        <f>IF(A!N29=1,A!N$2,"")</f>
      </c>
      <c r="O27" s="388">
        <f>IF(A!P29=1,A!P$2,"")</f>
      </c>
      <c r="P27" s="388">
        <f>IF(A!O29=1,A!O$2,"")</f>
      </c>
      <c r="Q27" s="388">
        <f>IF(F!D28=5,F!B28,"")</f>
      </c>
      <c r="R27" s="388">
        <f>IF(A!U29&lt;5,A!B29&amp;" "&amp;A!U29,"")</f>
      </c>
    </row>
    <row r="28" spans="1:18" s="386" customFormat="1" ht="9" customHeight="1">
      <c r="A28" s="386" t="str">
        <f>IF(B!F30&gt;0,B!B30,"")</f>
        <v> </v>
      </c>
      <c r="B28" s="389">
        <f>IF(B!F30&gt;0,B!F30,"")</f>
      </c>
      <c r="C28" s="386">
        <f>IF(A!C30=1,A!C$2,"")</f>
      </c>
      <c r="D28" s="386">
        <f>IF(A!D30=1,A!D$2,"")</f>
      </c>
      <c r="E28" s="386">
        <f>IF(A!E30=1,A!E$2,"")</f>
      </c>
      <c r="F28" s="386">
        <f>IF(A!F30=1,A!F$2,"")</f>
      </c>
      <c r="G28" s="386">
        <f>IF(A!G30=1,A!G$2,"")</f>
      </c>
      <c r="H28" s="386">
        <f>IF(A!H30=1,A!H$2,"")</f>
      </c>
      <c r="I28" s="386">
        <f>IF(A!I30=1,A!I$2,"")</f>
      </c>
      <c r="J28" s="386">
        <f>IF(A!J30=1,A!J$2,"")</f>
      </c>
      <c r="K28" s="386">
        <f>IF(A!K30=1,A!K$2,"")</f>
      </c>
      <c r="L28" s="386">
        <f>IF(A!L30=1,A!L$2,"")</f>
      </c>
      <c r="M28" s="386">
        <f>IF(A!M30=1,A!M$2,"")</f>
      </c>
      <c r="N28" s="386">
        <f>IF(A!N30=1,A!N$2,"")</f>
      </c>
      <c r="O28" s="388">
        <f>IF(A!P30=1,A!P$2,"")</f>
      </c>
      <c r="P28" s="388">
        <f>IF(A!O30=1,A!O$2,"")</f>
      </c>
      <c r="Q28" s="388">
        <f>IF(F!D29=5,F!B29,"")</f>
      </c>
      <c r="R28" s="388">
        <f>IF(A!U30&lt;5,A!B30&amp;" "&amp;A!U30,"")</f>
      </c>
    </row>
    <row r="29" spans="1:18" s="386" customFormat="1" ht="9" customHeight="1">
      <c r="A29" s="386" t="str">
        <f>IF(B!F31&gt;0,B!B31,"")</f>
        <v> </v>
      </c>
      <c r="B29" s="389">
        <f>IF(B!F31&gt;0,B!F31,"")</f>
      </c>
      <c r="C29" s="386">
        <f>IF(A!C31=1,A!C$2,"")</f>
      </c>
      <c r="D29" s="386">
        <f>IF(A!D31=1,A!D$2,"")</f>
      </c>
      <c r="E29" s="386">
        <f>IF(A!E31=1,A!E$2,"")</f>
      </c>
      <c r="F29" s="386">
        <f>IF(A!F31=1,A!F$2,"")</f>
      </c>
      <c r="G29" s="386">
        <f>IF(A!G31=1,A!G$2,"")</f>
      </c>
      <c r="H29" s="386">
        <f>IF(A!H31=1,A!H$2,"")</f>
      </c>
      <c r="I29" s="386">
        <f>IF(A!I31=1,A!I$2,"")</f>
      </c>
      <c r="J29" s="386">
        <f>IF(A!J31=1,A!J$2,"")</f>
      </c>
      <c r="K29" s="386">
        <f>IF(A!K31=1,A!K$2,"")</f>
      </c>
      <c r="L29" s="386">
        <f>IF(A!L31=1,A!L$2,"")</f>
      </c>
      <c r="M29" s="386">
        <f>IF(A!M31=1,A!M$2,"")</f>
      </c>
      <c r="N29" s="386">
        <f>IF(A!N31=1,A!N$2,"")</f>
      </c>
      <c r="O29" s="388">
        <f>IF(A!P31=1,A!P$2,"")</f>
      </c>
      <c r="P29" s="388">
        <f>IF(A!O31=1,A!O$2,"")</f>
      </c>
      <c r="Q29" s="388">
        <f>IF(F!D30=5,F!B30,"")</f>
      </c>
      <c r="R29" s="388">
        <f>IF(A!U31&lt;5,A!B31&amp;" "&amp;A!U31,"")</f>
      </c>
    </row>
    <row r="30" spans="1:18" s="386" customFormat="1" ht="9" customHeight="1">
      <c r="A30" s="386" t="str">
        <f>IF(B!F32&gt;0,B!B32,"")</f>
        <v> </v>
      </c>
      <c r="B30" s="389">
        <f>IF(B!F32&gt;0,B!F32,"")</f>
      </c>
      <c r="C30" s="386">
        <f>IF(A!C32=1,A!C$2,"")</f>
      </c>
      <c r="D30" s="386">
        <f>IF(A!D32=1,A!D$2,"")</f>
      </c>
      <c r="E30" s="386">
        <f>IF(A!E32=1,A!E$2,"")</f>
      </c>
      <c r="F30" s="386">
        <f>IF(A!F32=1,A!F$2,"")</f>
      </c>
      <c r="G30" s="386">
        <f>IF(A!G32=1,A!G$2,"")</f>
      </c>
      <c r="H30" s="386">
        <f>IF(A!H32=1,A!H$2,"")</f>
      </c>
      <c r="I30" s="386">
        <f>IF(A!I32=1,A!I$2,"")</f>
      </c>
      <c r="J30" s="386">
        <f>IF(A!J32=1,A!J$2,"")</f>
      </c>
      <c r="K30" s="386">
        <f>IF(A!K32=1,A!K$2,"")</f>
      </c>
      <c r="L30" s="386">
        <f>IF(A!L32=1,A!L$2,"")</f>
      </c>
      <c r="M30" s="386">
        <f>IF(A!M32=1,A!M$2,"")</f>
      </c>
      <c r="N30" s="386">
        <f>IF(A!N32=1,A!N$2,"")</f>
      </c>
      <c r="O30" s="388">
        <f>IF(A!P32=1,A!P$2,"")</f>
      </c>
      <c r="P30" s="388">
        <f>IF(A!O32=1,A!O$2,"")</f>
      </c>
      <c r="Q30" s="388">
        <f>IF(F!D31=5,F!B31,"")</f>
      </c>
      <c r="R30" s="388">
        <f>IF(A!U32&lt;5,A!B32&amp;" "&amp;A!U32,"")</f>
      </c>
    </row>
    <row r="31" spans="1:18" s="386" customFormat="1" ht="9" customHeight="1">
      <c r="A31" s="386" t="str">
        <f>IF(B!F33&gt;0,B!B33,"")</f>
        <v> </v>
      </c>
      <c r="B31" s="389">
        <f>IF(B!F33&gt;0,B!F33,"")</f>
      </c>
      <c r="C31" s="386">
        <f>IF(A!C33=1,A!C$2,"")</f>
      </c>
      <c r="D31" s="386">
        <f>IF(A!D33=1,A!D$2,"")</f>
      </c>
      <c r="E31" s="386">
        <f>IF(A!E33=1,A!E$2,"")</f>
      </c>
      <c r="F31" s="386">
        <f>IF(A!F33=1,A!F$2,"")</f>
      </c>
      <c r="G31" s="386">
        <f>IF(A!G33=1,A!G$2,"")</f>
      </c>
      <c r="H31" s="386">
        <f>IF(A!H33=1,A!H$2,"")</f>
      </c>
      <c r="I31" s="386">
        <f>IF(A!I33=1,A!I$2,"")</f>
      </c>
      <c r="J31" s="386">
        <f>IF(A!J33=1,A!J$2,"")</f>
      </c>
      <c r="K31" s="386">
        <f>IF(A!K33=1,A!K$2,"")</f>
      </c>
      <c r="L31" s="386">
        <f>IF(A!L33=1,A!L$2,"")</f>
      </c>
      <c r="M31" s="386">
        <f>IF(A!M33=1,A!M$2,"")</f>
      </c>
      <c r="N31" s="386">
        <f>IF(A!N33=1,A!N$2,"")</f>
      </c>
      <c r="O31" s="388">
        <f>IF(A!P33=1,A!P$2,"")</f>
      </c>
      <c r="P31" s="388">
        <f>IF(A!O33=1,A!O$2,"")</f>
      </c>
      <c r="Q31" s="388">
        <f>IF(F!D32=5,F!B32,"")</f>
      </c>
      <c r="R31" s="388">
        <f>IF(A!U33&lt;5,A!B33&amp;" "&amp;A!U33,"")</f>
      </c>
    </row>
    <row r="32" spans="1:18" s="386" customFormat="1" ht="9" customHeight="1">
      <c r="A32" s="386" t="str">
        <f>IF(B!F34&gt;0,B!B34,"")</f>
        <v> </v>
      </c>
      <c r="B32" s="389">
        <f>IF(B!F34&gt;0,B!F34,"")</f>
      </c>
      <c r="C32" s="386">
        <f>IF(A!C34=1,A!C$2,"")</f>
      </c>
      <c r="D32" s="386">
        <f>IF(A!D34=1,A!D$2,"")</f>
      </c>
      <c r="E32" s="386">
        <f>IF(A!E34=1,A!E$2,"")</f>
      </c>
      <c r="F32" s="386">
        <f>IF(A!F34=1,A!F$2,"")</f>
      </c>
      <c r="G32" s="386">
        <f>IF(A!G34=1,A!G$2,"")</f>
      </c>
      <c r="H32" s="386">
        <f>IF(A!H34=1,A!H$2,"")</f>
      </c>
      <c r="I32" s="386">
        <f>IF(A!I34=1,A!I$2,"")</f>
      </c>
      <c r="J32" s="386">
        <f>IF(A!J34=1,A!J$2,"")</f>
      </c>
      <c r="K32" s="386">
        <f>IF(A!K34=1,A!K$2,"")</f>
      </c>
      <c r="L32" s="386">
        <f>IF(A!L34=1,A!L$2,"")</f>
      </c>
      <c r="M32" s="386">
        <f>IF(A!M34=1,A!M$2,"")</f>
      </c>
      <c r="N32" s="386">
        <f>IF(A!N34=1,A!N$2,"")</f>
      </c>
      <c r="O32" s="388">
        <f>IF(A!P34=1,A!P$2,"")</f>
      </c>
      <c r="P32" s="388">
        <f>IF(A!O34=1,A!O$2,"")</f>
      </c>
      <c r="Q32" s="388">
        <f>IF(F!D33=5,F!B33,"")</f>
      </c>
      <c r="R32" s="388">
        <f>IF(A!U34&lt;5,A!B34&amp;" "&amp;A!U34,"")</f>
      </c>
    </row>
    <row r="33" spans="1:18" s="386" customFormat="1" ht="9" customHeight="1">
      <c r="A33" s="386" t="str">
        <f>IF(B!F35&gt;0,B!B35,"")</f>
        <v> </v>
      </c>
      <c r="B33" s="389">
        <f>IF(B!F35&gt;0,B!F35,"")</f>
      </c>
      <c r="C33" s="386">
        <f>IF(A!C35=1,A!C$2,"")</f>
      </c>
      <c r="D33" s="386">
        <f>IF(A!D35=1,A!D$2,"")</f>
      </c>
      <c r="E33" s="386">
        <f>IF(A!E35=1,A!E$2,"")</f>
      </c>
      <c r="F33" s="386">
        <f>IF(A!F35=1,A!F$2,"")</f>
      </c>
      <c r="G33" s="386">
        <f>IF(A!G35=1,A!G$2,"")</f>
      </c>
      <c r="H33" s="386">
        <f>IF(A!H35=1,A!H$2,"")</f>
      </c>
      <c r="I33" s="386">
        <f>IF(A!I35=1,A!I$2,"")</f>
      </c>
      <c r="J33" s="386">
        <f>IF(A!J35=1,A!J$2,"")</f>
      </c>
      <c r="K33" s="386">
        <f>IF(A!K35=1,A!K$2,"")</f>
      </c>
      <c r="L33" s="386">
        <f>IF(A!L35=1,A!L$2,"")</f>
      </c>
      <c r="M33" s="386">
        <f>IF(A!M35=1,A!M$2,"")</f>
      </c>
      <c r="N33" s="386">
        <f>IF(A!N35=1,A!N$2,"")</f>
      </c>
      <c r="O33" s="388">
        <f>IF(A!P35=1,A!P$2,"")</f>
      </c>
      <c r="P33" s="388">
        <f>IF(A!O35=1,A!O$2,"")</f>
      </c>
      <c r="Q33" s="388">
        <f>IF(F!D34=5,F!B34,"")</f>
      </c>
      <c r="R33" s="388">
        <f>IF(A!U35&lt;5,A!B35&amp;" "&amp;A!U35,"")</f>
      </c>
    </row>
    <row r="34" spans="1:18" s="386" customFormat="1" ht="9" customHeight="1">
      <c r="A34" s="386" t="str">
        <f>IF(B!F36&gt;0,B!B36,"")</f>
        <v> </v>
      </c>
      <c r="B34" s="389">
        <f>IF(B!F36&gt;0,B!F36,"")</f>
      </c>
      <c r="C34" s="386">
        <f>IF(A!C36=1,A!C$2,"")</f>
      </c>
      <c r="D34" s="386">
        <f>IF(A!D36=1,A!D$2,"")</f>
      </c>
      <c r="E34" s="386">
        <f>IF(A!E36=1,A!E$2,"")</f>
      </c>
      <c r="F34" s="386">
        <f>IF(A!F36=1,A!F$2,"")</f>
      </c>
      <c r="G34" s="386">
        <f>IF(A!G36=1,A!G$2,"")</f>
      </c>
      <c r="H34" s="386">
        <f>IF(A!H36=1,A!H$2,"")</f>
      </c>
      <c r="I34" s="386">
        <f>IF(A!I36=1,A!I$2,"")</f>
      </c>
      <c r="J34" s="386">
        <f>IF(A!J36=1,A!J$2,"")</f>
      </c>
      <c r="K34" s="386">
        <f>IF(A!K36=1,A!K$2,"")</f>
      </c>
      <c r="L34" s="386">
        <f>IF(A!L36=1,A!L$2,"")</f>
      </c>
      <c r="M34" s="386">
        <f>IF(A!M36=1,A!M$2,"")</f>
      </c>
      <c r="N34" s="386">
        <f>IF(A!N36=1,A!N$2,"")</f>
      </c>
      <c r="O34" s="388">
        <f>IF(A!P36=1,A!P$2,"")</f>
      </c>
      <c r="P34" s="388">
        <f>IF(A!O36=1,A!O$2,"")</f>
      </c>
      <c r="Q34" s="388">
        <f>IF(F!D35=5,F!B35,"")</f>
      </c>
      <c r="R34" s="388">
        <f>IF(A!U36&lt;5,A!B36&amp;" "&amp;A!U36,"")</f>
      </c>
    </row>
    <row r="35" spans="1:18" s="386" customFormat="1" ht="9" customHeight="1">
      <c r="A35" s="386" t="str">
        <f>IF(B!F37&gt;0,B!B37,"")</f>
        <v> </v>
      </c>
      <c r="B35" s="389">
        <f>IF(B!F37&gt;0,B!F37,"")</f>
      </c>
      <c r="C35" s="386">
        <f>IF(A!C37=1,A!C$2,"")</f>
      </c>
      <c r="D35" s="386">
        <f>IF(A!D37=1,A!D$2,"")</f>
      </c>
      <c r="E35" s="386">
        <f>IF(A!E37=1,A!E$2,"")</f>
      </c>
      <c r="F35" s="386">
        <f>IF(A!F37=1,A!F$2,"")</f>
      </c>
      <c r="G35" s="386">
        <f>IF(A!G37=1,A!G$2,"")</f>
      </c>
      <c r="H35" s="386">
        <f>IF(A!H37=1,A!H$2,"")</f>
      </c>
      <c r="I35" s="386">
        <f>IF(A!I37=1,A!I$2,"")</f>
      </c>
      <c r="J35" s="386">
        <f>IF(A!J37=1,A!J$2,"")</f>
      </c>
      <c r="K35" s="386">
        <f>IF(A!K37=1,A!K$2,"")</f>
      </c>
      <c r="L35" s="386">
        <f>IF(A!L37=1,A!L$2,"")</f>
      </c>
      <c r="M35" s="386">
        <f>IF(A!M37=1,A!M$2,"")</f>
      </c>
      <c r="N35" s="386">
        <f>IF(A!N37=1,A!N$2,"")</f>
      </c>
      <c r="O35" s="388">
        <f>IF(A!P37=1,A!P$2,"")</f>
      </c>
      <c r="P35" s="388">
        <f>IF(A!O37=1,A!O$2,"")</f>
      </c>
      <c r="Q35" s="388">
        <f>IF(F!D36=5,F!B36,"")</f>
      </c>
      <c r="R35" s="388">
        <f>IF(A!U37&lt;5,A!B37&amp;" "&amp;A!U37,"")</f>
      </c>
    </row>
    <row r="36" spans="1:18" s="386" customFormat="1" ht="9" customHeight="1">
      <c r="A36" s="386" t="str">
        <f>IF(B!F38&gt;0,B!B38,"")</f>
        <v> </v>
      </c>
      <c r="B36" s="389">
        <f>IF(B!F38&gt;0,B!F38,"")</f>
      </c>
      <c r="C36" s="386">
        <f>IF(A!C38=1,A!C$2,"")</f>
      </c>
      <c r="D36" s="386">
        <f>IF(A!D38=1,A!D$2,"")</f>
      </c>
      <c r="E36" s="386">
        <f>IF(A!E38=1,A!E$2,"")</f>
      </c>
      <c r="F36" s="386">
        <f>IF(A!F38=1,A!F$2,"")</f>
      </c>
      <c r="G36" s="386">
        <f>IF(A!G38=1,A!G$2,"")</f>
      </c>
      <c r="H36" s="386">
        <f>IF(A!H38=1,A!H$2,"")</f>
      </c>
      <c r="I36" s="386">
        <f>IF(A!I38=1,A!I$2,"")</f>
      </c>
      <c r="J36" s="386">
        <f>IF(A!J38=1,A!J$2,"")</f>
      </c>
      <c r="K36" s="386">
        <f>IF(A!K38=1,A!K$2,"")</f>
      </c>
      <c r="L36" s="386">
        <f>IF(A!L38=1,A!L$2,"")</f>
      </c>
      <c r="M36" s="386">
        <f>IF(A!M38=1,A!M$2,"")</f>
      </c>
      <c r="N36" s="386">
        <f>IF(A!N38=1,A!N$2,"")</f>
      </c>
      <c r="O36" s="388">
        <f>IF(A!P38=1,A!P$2,"")</f>
      </c>
      <c r="P36" s="388">
        <f>IF(A!O38=1,A!O$2,"")</f>
      </c>
      <c r="Q36" s="388">
        <f>IF(F!D37=5,F!B37,"")</f>
      </c>
      <c r="R36" s="388">
        <f>IF(A!U38&lt;5,A!B38&amp;" "&amp;A!U38,"")</f>
      </c>
    </row>
    <row r="37" spans="1:18" s="386" customFormat="1" ht="9" customHeight="1">
      <c r="A37" s="386" t="str">
        <f>IF(B!F39&gt;0,B!B39,"")</f>
        <v> </v>
      </c>
      <c r="B37" s="389">
        <f>IF(B!F39&gt;0,B!F39,"")</f>
      </c>
      <c r="C37" s="386">
        <f>IF(A!C39=1,A!C$2,"")</f>
      </c>
      <c r="D37" s="386">
        <f>IF(A!D39=1,A!D$2,"")</f>
      </c>
      <c r="E37" s="386">
        <f>IF(A!E39=1,A!E$2,"")</f>
      </c>
      <c r="F37" s="386">
        <f>IF(A!F39=1,A!F$2,"")</f>
      </c>
      <c r="G37" s="386">
        <f>IF(A!G39=1,A!G$2,"")</f>
      </c>
      <c r="H37" s="386">
        <f>IF(A!H39=1,A!H$2,"")</f>
      </c>
      <c r="I37" s="386">
        <f>IF(A!I39=1,A!I$2,"")</f>
      </c>
      <c r="J37" s="386">
        <f>IF(A!J39=1,A!J$2,"")</f>
      </c>
      <c r="K37" s="386">
        <f>IF(A!K39=1,A!K$2,"")</f>
      </c>
      <c r="L37" s="386">
        <f>IF(A!L39=1,A!L$2,"")</f>
      </c>
      <c r="M37" s="386">
        <f>IF(A!M39=1,A!M$2,"")</f>
      </c>
      <c r="N37" s="386">
        <f>IF(A!N39=1,A!N$2,"")</f>
      </c>
      <c r="O37" s="388">
        <f>IF(A!P39=1,A!P$2,"")</f>
      </c>
      <c r="P37" s="388">
        <f>IF(A!O39=1,A!O$2,"")</f>
      </c>
      <c r="Q37" s="388">
        <f>IF(F!D38=5,F!B38,"")</f>
      </c>
      <c r="R37" s="388">
        <f>IF(A!U39&lt;5,A!B39&amp;" "&amp;A!U39,"")</f>
      </c>
    </row>
    <row r="38" spans="1:18" s="386" customFormat="1" ht="9" customHeight="1">
      <c r="A38" s="386" t="str">
        <f>IF(B!F40&gt;0,B!B40,"")</f>
        <v> </v>
      </c>
      <c r="B38" s="389">
        <f>IF(B!F40&gt;0,B!F40,"")</f>
      </c>
      <c r="C38" s="386">
        <f>IF(A!C40=1,A!C$2,"")</f>
      </c>
      <c r="D38" s="386">
        <f>IF(A!D40=1,A!D$2,"")</f>
      </c>
      <c r="E38" s="386">
        <f>IF(A!E40=1,A!E$2,"")</f>
      </c>
      <c r="F38" s="386">
        <f>IF(A!F40=1,A!F$2,"")</f>
      </c>
      <c r="G38" s="386">
        <f>IF(A!G40=1,A!G$2,"")</f>
      </c>
      <c r="H38" s="386">
        <f>IF(A!H40=1,A!H$2,"")</f>
      </c>
      <c r="I38" s="386">
        <f>IF(A!I40=1,A!I$2,"")</f>
      </c>
      <c r="J38" s="386">
        <f>IF(A!J40=1,A!J$2,"")</f>
      </c>
      <c r="K38" s="386">
        <f>IF(A!K40=1,A!K$2,"")</f>
      </c>
      <c r="L38" s="386">
        <f>IF(A!L40=1,A!L$2,"")</f>
      </c>
      <c r="M38" s="386">
        <f>IF(A!M40=1,A!M$2,"")</f>
      </c>
      <c r="N38" s="386">
        <f>IF(A!N40=1,A!N$2,"")</f>
      </c>
      <c r="O38" s="388">
        <f>IF(A!P40=1,A!P$2,"")</f>
      </c>
      <c r="P38" s="388">
        <f>IF(A!O40=1,A!O$2,"")</f>
      </c>
      <c r="Q38" s="388">
        <f>IF(F!D39=5,F!B39,"")</f>
      </c>
      <c r="R38" s="388">
        <f>IF(A!U40&lt;5,A!B40&amp;" "&amp;A!U40,"")</f>
      </c>
    </row>
    <row r="39" spans="1:18" s="386" customFormat="1" ht="9" customHeight="1">
      <c r="A39" s="386" t="str">
        <f>IF(B!F41&gt;0,B!B41,"")</f>
        <v> </v>
      </c>
      <c r="B39" s="389">
        <f>IF(B!F41&gt;0,B!F41,"")</f>
      </c>
      <c r="C39" s="386">
        <f>IF(A!C41=1,A!C$2,"")</f>
      </c>
      <c r="D39" s="386">
        <f>IF(A!D41=1,A!D$2,"")</f>
      </c>
      <c r="E39" s="386">
        <f>IF(A!E41=1,A!E$2,"")</f>
      </c>
      <c r="F39" s="386">
        <f>IF(A!F41=1,A!F$2,"")</f>
      </c>
      <c r="G39" s="386">
        <f>IF(A!G41=1,A!G$2,"")</f>
      </c>
      <c r="H39" s="386">
        <f>IF(A!H41=1,A!H$2,"")</f>
      </c>
      <c r="I39" s="386">
        <f>IF(A!I41=1,A!I$2,"")</f>
      </c>
      <c r="J39" s="386">
        <f>IF(A!J41=1,A!J$2,"")</f>
      </c>
      <c r="K39" s="386">
        <f>IF(A!K41=1,A!K$2,"")</f>
      </c>
      <c r="L39" s="386">
        <f>IF(A!L41=1,A!L$2,"")</f>
      </c>
      <c r="M39" s="386">
        <f>IF(A!M41=1,A!M$2,"")</f>
      </c>
      <c r="N39" s="386">
        <f>IF(A!N41=1,A!N$2,"")</f>
      </c>
      <c r="O39" s="388">
        <f>IF(A!P41=1,A!P$2,"")</f>
      </c>
      <c r="P39" s="388">
        <f>IF(A!O41=1,A!O$2,"")</f>
      </c>
      <c r="Q39" s="388">
        <f>IF(F!D40=5,F!B40,"")</f>
      </c>
      <c r="R39" s="388">
        <f>IF(A!U41&lt;5,A!B41&amp;" "&amp;A!U41,"")</f>
      </c>
    </row>
    <row r="40" spans="1:18" s="386" customFormat="1" ht="9" customHeight="1">
      <c r="A40" s="390" t="str">
        <f>IF(B!F42&gt;0,B!B42,"")</f>
        <v> </v>
      </c>
      <c r="B40" s="391">
        <f>IF(B!F42&gt;0,B!F42,"")</f>
      </c>
      <c r="C40" s="390">
        <f>IF(A!C42=1,A!C$2,"")</f>
      </c>
      <c r="D40" s="390">
        <f>IF(A!D42=1,A!D$2,"")</f>
      </c>
      <c r="E40" s="390">
        <f>IF(A!E42=1,A!E$2,"")</f>
      </c>
      <c r="F40" s="390">
        <f>IF(A!F42=1,A!F$2,"")</f>
      </c>
      <c r="G40" s="390">
        <f>IF(A!G42=1,A!G$2,"")</f>
      </c>
      <c r="H40" s="390">
        <f>IF(A!H42=1,A!H$2,"")</f>
      </c>
      <c r="I40" s="390">
        <f>IF(A!I42=1,A!I$2,"")</f>
      </c>
      <c r="J40" s="390">
        <f>IF(A!J42=1,A!J$2,"")</f>
      </c>
      <c r="K40" s="390">
        <f>IF(A!K42=1,A!K$2,"")</f>
      </c>
      <c r="L40" s="390">
        <f>IF(A!L42=1,A!L$2,"")</f>
      </c>
      <c r="M40" s="390">
        <f>IF(A!M42=1,A!M$2,"")</f>
      </c>
      <c r="N40" s="390">
        <f>IF(A!N42=1,A!N$2,"")</f>
      </c>
      <c r="O40" s="392">
        <f>IF(A!P42=1,A!P$2,"")</f>
      </c>
      <c r="P40" s="393">
        <f>IF(A!O42=1,A!O$2,"")</f>
      </c>
      <c r="Q40" s="392">
        <f>IF(F!D41=5,F!B41,"")</f>
      </c>
      <c r="R40" s="392">
        <f>IF(A!U42&lt;5,A!B42&amp;" "&amp;A!U42,"")</f>
      </c>
    </row>
    <row r="41" spans="1:16" s="386" customFormat="1" ht="9" customHeight="1">
      <c r="A41" s="394">
        <f>IF(B1="",""," "&amp;TRIM(CONCATENATE(A1," iz: ",C1,"  ",D1," ",E1," ",F1," ",G1," ",H1," ",I1," ",J1," ",K1," ",L1," ",M1," ",N1," ",O1," ",P1," ")))</f>
      </c>
      <c r="B41" s="395">
        <f>TRIM(CONCATENATE(C1,"  ",D1," ",E1," ",F1," ",G1," ",H1," ",I1," ",J1," ",K1," ",L1," ",M1," ",N1," ",O1," ",P1))</f>
      </c>
      <c r="C41" s="396"/>
      <c r="D41" s="397"/>
      <c r="E41" s="397"/>
      <c r="F41" s="397"/>
      <c r="G41" s="398"/>
      <c r="H41" s="398"/>
      <c r="I41" s="398"/>
      <c r="J41" s="398"/>
      <c r="K41" s="398"/>
      <c r="L41" s="398"/>
      <c r="M41" s="398"/>
      <c r="N41" s="398"/>
      <c r="O41" s="398"/>
      <c r="P41" s="398"/>
    </row>
    <row r="42" spans="1:6" s="386" customFormat="1" ht="9.75">
      <c r="A42" s="394" t="str">
        <f aca="true" t="shared" si="0" ref="A42:A80">IF(B2="",""," "&amp;TRIM(CONCATENATE(A2," iz: ",C2,"  ",D2," ",E2," ",F2," ",G2," ",H2," ",I2," ",J2," ",K2," ",L2," ",M2," ",N2," ",O2," ",P2," ")))</f>
        <v> Blagojević Nenad iz: psj fiz mat</v>
      </c>
      <c r="B42" s="395"/>
      <c r="C42" s="395"/>
      <c r="D42" s="399"/>
      <c r="E42" s="399"/>
      <c r="F42" s="399"/>
    </row>
    <row r="43" spans="1:6" s="386" customFormat="1" ht="12" customHeight="1">
      <c r="A43" s="394">
        <f t="shared" si="0"/>
      </c>
      <c r="B43" s="395"/>
      <c r="C43" s="395"/>
      <c r="D43" s="399"/>
      <c r="E43" s="399"/>
      <c r="F43" s="399" t="str">
        <f>CONCATENATE(C3,"  ",D3," ",E3," ",F3," ",G3," ",H3," ",I3," ",J3," ",K3," ",L3," ",M3," ",N3," ",O3," ",P3)</f>
        <v>              </v>
      </c>
    </row>
    <row r="44" spans="1:6" s="386" customFormat="1" ht="9.75">
      <c r="A44" s="394">
        <f t="shared" si="0"/>
      </c>
      <c r="B44" s="395"/>
      <c r="C44" s="395"/>
      <c r="D44" s="399"/>
      <c r="E44" s="399"/>
      <c r="F44" s="399"/>
    </row>
    <row r="45" spans="1:6" s="386" customFormat="1" ht="9.75">
      <c r="A45" s="394" t="str">
        <f t="shared" si="0"/>
        <v> Veselinović Nemanja iz: fiz dsj</v>
      </c>
      <c r="B45" s="395"/>
      <c r="C45" s="395"/>
      <c r="D45" s="399"/>
      <c r="E45" s="399"/>
      <c r="F45" s="399"/>
    </row>
    <row r="46" spans="1:6" s="386" customFormat="1" ht="9.75">
      <c r="A46" s="394" t="str">
        <f t="shared" si="0"/>
        <v> Gligorijević Grigorije iz: fiz mat</v>
      </c>
      <c r="B46" s="395"/>
      <c r="C46" s="395"/>
      <c r="D46" s="399"/>
      <c r="E46" s="399"/>
      <c r="F46" s="399"/>
    </row>
    <row r="47" spans="1:6" s="386" customFormat="1" ht="9.75">
      <c r="A47" s="394" t="str">
        <f t="shared" si="0"/>
        <v> Djordjević Ivana iz: dsj</v>
      </c>
      <c r="B47" s="395"/>
      <c r="C47" s="395"/>
      <c r="D47" s="399"/>
      <c r="E47" s="399"/>
      <c r="F47" s="399"/>
    </row>
    <row r="48" spans="1:6" s="386" customFormat="1" ht="9.75">
      <c r="A48" s="394">
        <f t="shared" si="0"/>
      </c>
      <c r="B48" s="395"/>
      <c r="C48" s="395"/>
      <c r="D48" s="399"/>
      <c r="E48" s="399"/>
      <c r="F48" s="399"/>
    </row>
    <row r="49" spans="1:6" s="386" customFormat="1" ht="9.75">
      <c r="A49" s="394">
        <f t="shared" si="0"/>
      </c>
      <c r="B49" s="395"/>
      <c r="C49" s="395"/>
      <c r="D49" s="399"/>
      <c r="E49" s="399"/>
      <c r="F49" s="399"/>
    </row>
    <row r="50" spans="1:6" s="386" customFormat="1" ht="9.75">
      <c r="A50" s="394">
        <f t="shared" si="0"/>
      </c>
      <c r="B50" s="395"/>
      <c r="C50" s="395"/>
      <c r="D50" s="399"/>
      <c r="E50" s="399"/>
      <c r="F50" s="399"/>
    </row>
    <row r="51" spans="1:6" s="386" customFormat="1" ht="9.75">
      <c r="A51" s="394" t="str">
        <f t="shared" si="0"/>
        <v> Lazarević Milena iz: fiz mat</v>
      </c>
      <c r="B51" s="395"/>
      <c r="C51" s="395"/>
      <c r="D51" s="399"/>
      <c r="E51" s="399"/>
      <c r="F51" s="399"/>
    </row>
    <row r="52" spans="1:6" s="386" customFormat="1" ht="9.75">
      <c r="A52" s="394">
        <f t="shared" si="0"/>
      </c>
      <c r="B52" s="395"/>
      <c r="C52" s="395"/>
      <c r="D52" s="399"/>
      <c r="E52" s="399"/>
      <c r="F52" s="399"/>
    </row>
    <row r="53" spans="1:6" s="386" customFormat="1" ht="9.75">
      <c r="A53" s="394">
        <f t="shared" si="0"/>
      </c>
      <c r="B53" s="395"/>
      <c r="C53" s="395"/>
      <c r="D53" s="399"/>
      <c r="E53" s="399"/>
      <c r="F53" s="399"/>
    </row>
    <row r="54" spans="1:6" s="386" customFormat="1" ht="9.75">
      <c r="A54" s="394">
        <f t="shared" si="0"/>
      </c>
      <c r="B54" s="395"/>
      <c r="C54" s="395"/>
      <c r="D54" s="399"/>
      <c r="E54" s="399"/>
      <c r="F54" s="399"/>
    </row>
    <row r="55" spans="1:6" s="386" customFormat="1" ht="9.75">
      <c r="A55" s="394" t="str">
        <f t="shared" si="0"/>
        <v> Milošević Stefan iz: srp fiz mat</v>
      </c>
      <c r="B55" s="395"/>
      <c r="C55" s="395"/>
      <c r="D55" s="399"/>
      <c r="E55" s="399"/>
      <c r="F55" s="399"/>
    </row>
    <row r="56" spans="1:6" s="386" customFormat="1" ht="9.75">
      <c r="A56" s="394">
        <f t="shared" si="0"/>
      </c>
      <c r="B56" s="395"/>
      <c r="C56" s="395"/>
      <c r="D56" s="399"/>
      <c r="E56" s="399"/>
      <c r="F56" s="399"/>
    </row>
    <row r="57" spans="1:6" s="386" customFormat="1" ht="9.75">
      <c r="A57" s="394">
        <f t="shared" si="0"/>
      </c>
      <c r="B57" s="395"/>
      <c r="C57" s="395"/>
      <c r="D57" s="399"/>
      <c r="E57" s="399"/>
      <c r="F57" s="399"/>
    </row>
    <row r="58" spans="1:6" s="386" customFormat="1" ht="9.75">
      <c r="A58" s="394">
        <f t="shared" si="0"/>
      </c>
      <c r="B58" s="395"/>
      <c r="C58" s="395"/>
      <c r="D58" s="399"/>
      <c r="E58" s="399"/>
      <c r="F58" s="399"/>
    </row>
    <row r="59" spans="1:6" s="386" customFormat="1" ht="9.75">
      <c r="A59" s="394" t="str">
        <f t="shared" si="0"/>
        <v> Rozman Marko iz: fiz mat</v>
      </c>
      <c r="B59" s="395"/>
      <c r="C59" s="395"/>
      <c r="D59" s="399"/>
      <c r="E59" s="399"/>
      <c r="F59" s="399"/>
    </row>
    <row r="60" spans="1:6" s="386" customFormat="1" ht="9.75">
      <c r="A60" s="394">
        <f t="shared" si="0"/>
      </c>
      <c r="B60" s="395"/>
      <c r="C60" s="395"/>
      <c r="D60" s="399"/>
      <c r="E60" s="399"/>
      <c r="F60" s="399"/>
    </row>
    <row r="61" spans="1:6" s="386" customFormat="1" ht="9.75">
      <c r="A61" s="394" t="str">
        <f t="shared" si="0"/>
        <v> Tadić Vesna iz: psj ist mat</v>
      </c>
      <c r="B61" s="395"/>
      <c r="C61" s="395"/>
      <c r="D61" s="399"/>
      <c r="E61" s="399"/>
      <c r="F61" s="399"/>
    </row>
    <row r="62" spans="1:6" s="386" customFormat="1" ht="9.75">
      <c r="A62" s="394">
        <f t="shared" si="0"/>
      </c>
      <c r="B62" s="395"/>
      <c r="C62" s="395"/>
      <c r="D62" s="399"/>
      <c r="E62" s="399"/>
      <c r="F62" s="399"/>
    </row>
    <row r="63" spans="1:6" s="386" customFormat="1" ht="9.75">
      <c r="A63" s="394">
        <f t="shared" si="0"/>
      </c>
      <c r="B63" s="395"/>
      <c r="C63" s="395"/>
      <c r="D63" s="399"/>
      <c r="E63" s="399"/>
      <c r="F63" s="399"/>
    </row>
    <row r="64" spans="1:6" ht="12">
      <c r="A64" s="394">
        <f t="shared" si="0"/>
      </c>
      <c r="B64" s="400"/>
      <c r="C64" s="400"/>
      <c r="D64" s="195"/>
      <c r="E64" s="195"/>
      <c r="F64" s="195"/>
    </row>
    <row r="65" spans="1:6" ht="12">
      <c r="A65" s="394">
        <f t="shared" si="0"/>
      </c>
      <c r="B65" s="400"/>
      <c r="C65" s="400"/>
      <c r="D65" s="195"/>
      <c r="E65" s="195"/>
      <c r="F65" s="195"/>
    </row>
    <row r="66" spans="1:6" ht="12">
      <c r="A66" s="394">
        <f t="shared" si="0"/>
      </c>
      <c r="B66" s="400"/>
      <c r="C66" s="400"/>
      <c r="D66" s="195"/>
      <c r="E66" s="195"/>
      <c r="F66" s="195"/>
    </row>
    <row r="67" spans="1:6" ht="12">
      <c r="A67" s="394">
        <f t="shared" si="0"/>
      </c>
      <c r="B67" s="400"/>
      <c r="C67" s="400"/>
      <c r="D67" s="195"/>
      <c r="E67" s="195"/>
      <c r="F67" s="195"/>
    </row>
    <row r="68" spans="1:6" ht="12">
      <c r="A68" s="394">
        <f t="shared" si="0"/>
      </c>
      <c r="B68" s="400"/>
      <c r="C68" s="400"/>
      <c r="D68" s="195"/>
      <c r="E68" s="195"/>
      <c r="F68" s="195"/>
    </row>
    <row r="69" spans="1:6" ht="12">
      <c r="A69" s="394">
        <f t="shared" si="0"/>
      </c>
      <c r="B69" s="400"/>
      <c r="C69" s="400"/>
      <c r="D69" s="195"/>
      <c r="E69" s="195"/>
      <c r="F69" s="195"/>
    </row>
    <row r="70" spans="1:6" ht="12">
      <c r="A70" s="394">
        <f t="shared" si="0"/>
      </c>
      <c r="B70" s="400"/>
      <c r="C70" s="400"/>
      <c r="D70" s="195"/>
      <c r="E70" s="195"/>
      <c r="F70" s="195"/>
    </row>
    <row r="71" spans="1:6" ht="12">
      <c r="A71" s="394">
        <f t="shared" si="0"/>
      </c>
      <c r="B71" s="400"/>
      <c r="C71" s="400"/>
      <c r="D71" s="195"/>
      <c r="E71" s="195"/>
      <c r="F71" s="195"/>
    </row>
    <row r="72" spans="1:6" ht="12">
      <c r="A72" s="394">
        <f t="shared" si="0"/>
      </c>
      <c r="B72" s="400"/>
      <c r="C72" s="400"/>
      <c r="D72" s="195"/>
      <c r="E72" s="195"/>
      <c r="F72" s="195"/>
    </row>
    <row r="73" spans="1:6" ht="12">
      <c r="A73" s="394">
        <f t="shared" si="0"/>
      </c>
      <c r="B73" s="400"/>
      <c r="C73" s="400"/>
      <c r="D73" s="195"/>
      <c r="E73" s="195"/>
      <c r="F73" s="195"/>
    </row>
    <row r="74" spans="1:6" ht="12">
      <c r="A74" s="394">
        <f t="shared" si="0"/>
      </c>
      <c r="B74" s="400"/>
      <c r="C74" s="400"/>
      <c r="D74" s="195"/>
      <c r="E74" s="195"/>
      <c r="F74" s="195"/>
    </row>
    <row r="75" spans="1:6" ht="12">
      <c r="A75" s="394">
        <f t="shared" si="0"/>
      </c>
      <c r="B75" s="400"/>
      <c r="C75" s="400"/>
      <c r="D75" s="195"/>
      <c r="E75" s="195"/>
      <c r="F75" s="195"/>
    </row>
    <row r="76" spans="1:6" ht="12">
      <c r="A76" s="394">
        <f t="shared" si="0"/>
      </c>
      <c r="B76" s="400"/>
      <c r="C76" s="400"/>
      <c r="D76" s="195"/>
      <c r="E76" s="195"/>
      <c r="F76" s="195"/>
    </row>
    <row r="77" spans="1:6" ht="12">
      <c r="A77" s="394">
        <f t="shared" si="0"/>
      </c>
      <c r="B77" s="400">
        <f>TRIM(CONCATENATE(C37,"  ",D37," ",E37," ",F37," ",G37," ",H37," ",I37," ",J37," ",K37," ",L37," ",M37," ",N37," ",O37," ",P37))</f>
      </c>
      <c r="C77" s="400"/>
      <c r="D77" s="195"/>
      <c r="E77" s="195"/>
      <c r="F77" s="195"/>
    </row>
    <row r="78" spans="1:6" ht="12">
      <c r="A78" s="394">
        <f t="shared" si="0"/>
      </c>
      <c r="B78" s="400">
        <f>TRIM(CONCATENATE(C38,"  ",D38," ",E38," ",F38," ",G38," ",H38," ",I38," ",J38," ",K38," ",L38," ",M38," ",N38," ",O38," ",P38))</f>
      </c>
      <c r="C78" s="400"/>
      <c r="D78" s="195"/>
      <c r="E78" s="195"/>
      <c r="F78" s="195"/>
    </row>
    <row r="79" spans="1:6" ht="12">
      <c r="A79" s="394">
        <f t="shared" si="0"/>
      </c>
      <c r="B79" s="400">
        <f>TRIM(CONCATENATE(C39,"  ",D39," ",E39," ",F39," ",G39," ",H39," ",I39," ",J39," ",K39," ",L39," ",M39," ",N39," ",O39," ",P39))</f>
      </c>
      <c r="C79" s="400"/>
      <c r="D79" s="195"/>
      <c r="E79" s="195"/>
      <c r="F79" s="195"/>
    </row>
    <row r="80" spans="1:6" ht="12">
      <c r="A80" s="394">
        <f t="shared" si="0"/>
      </c>
      <c r="B80" s="401">
        <f>TRIM(CONCATENATE(C40,"  ",D40," ",E40," ",F40," ",G40," ",H40," ",I40," ",J40," ",K40," ",L40," ",M40," ",N40," ",O40," ",P40))</f>
      </c>
      <c r="C80" s="402"/>
      <c r="D80" s="403"/>
      <c r="E80" s="195"/>
      <c r="F80" s="195"/>
    </row>
    <row r="81" spans="1:21" ht="12">
      <c r="A81" s="404" t="str">
        <f>TRIM(CONCATENATE(IF(B1=1,A41," "),IF(B2=1,A42," "),IF(B3=1,A43," "),IF(B4=1,A44," "),IF(B5=1,A45," "),IF(B6=1,A46," "),IF(B7=1,A47," "),IF(B8=1,A48," "),IF(B9=1,A49," "),IF(B10=1,A50," "),IF(B11=1,A51," "),IF(B12=1,A52," "),IF(B13=1,A53," "),IF(B14=1,A54," "),IF(B15=1,A55," "),IF(B16=1,A56," "),IF(B17=1,A57," "),IF(B18=1,A58," "),IF(B19=1,A59," "),IF(B20=1,A60," "),IF(B21=1,A61," "),IF(B22=1,A62," "),IF(B23=1,A63," "),IF(B24=1,A64," "),IF(B25=1,A65," "),IF(B26=1,A66," "),IF(B27=1,A67," "),IF(B28=1,A68," "),IF(B29=1,A69," "),IF(B30=1,A70," ")))</f>
        <v>Djordjević Ivana iz: dsj</v>
      </c>
      <c r="B81" s="405">
        <f>TRIM(CONCATENATE(IF(B31=1,A71," "),IF(B32=1,A72," "),IF(B33=1,A73," "),IF(B34=1,A74," "),IF(B35=1,A75," "),IF(B36=1,A76," "),IF(B37=1,A77," "),IF(B38=1,A78," "),IF(B39=1,A79," "),IF(B40=1,A80," ")))</f>
      </c>
      <c r="C81" s="406" t="str">
        <f>CONCATENATE(A81,B82)</f>
        <v>Djordjević Ivana iz: dsj</v>
      </c>
      <c r="D81" s="407"/>
      <c r="E81" s="407"/>
      <c r="F81" s="407"/>
      <c r="G81" s="407"/>
      <c r="H81" s="407"/>
      <c r="I81" s="407"/>
      <c r="J81" s="408"/>
      <c r="K81" s="408"/>
      <c r="L81" s="409"/>
      <c r="M81" s="409"/>
      <c r="N81" s="409"/>
      <c r="O81" s="409"/>
      <c r="P81" s="409"/>
      <c r="Q81" s="409"/>
      <c r="R81" s="409"/>
      <c r="S81" s="409"/>
      <c r="T81" s="409"/>
      <c r="U81" s="410"/>
    </row>
    <row r="82" spans="1:21" ht="12">
      <c r="A82" s="320" t="str">
        <f>TRIM(CONCATENATE(IF(B1=2,A41," "),IF(B2=2,A42," "),IF(B3=2,A43," "),IF(B4=2,A44," "),IF(B5=2,A45," "),IF(B6=2,A46," "),IF(B7=2,A47," "),IF(B8=2,A48," "),IF(B9=2,A49," "),IF(B10=2,A50," "),IF(B11=2,A51," "),IF(B12=2,A52," "),IF(B13=2,A53," "),IF(B14=2,A54," "),IF(B15=2,A55," "),IF(B16=2,A56," "),IF(B17=2,A57," "),IF(B18=2,A58," "),IF(B19=2,A59," "),IF(B20=2,A60," "),IF(B21=2,A61," "),IF(B22=2,A62," "),IF(B23=2,A63," "),IF(B24=2,A64," "),IF(B25=2,A65," "),IF(B26=2,A66," "),IF(B27=2,A67," "),IF(B28=2,A68," "),IF(B29=2,A69," "),IF(B30=2,A70," ")))</f>
        <v>Veselinović Nemanja iz: fiz dsj Gligorijević Grigorije iz: fiz mat Lazarević Milena iz: fiz mat Rozman Marko iz: fiz mat</v>
      </c>
      <c r="B82" s="320">
        <f>TRIM(CONCATENATE(IF(B31=2,A71," "),IF(B32=2,A72," "),IF(B33=2,A73," "),IF(B34=2,A74," "),IF(B35=2,A75," "),IF(B36=2,A76," "),IF(B37=2,A77," "),IF(B38=2,A78," "),IF(B39=2,A79," "),IF(B40=2,A80," ")))</f>
      </c>
      <c r="C82" s="411" t="str">
        <f>CONCATENATE(A82," ",B83)</f>
        <v>Veselinović Nemanja iz: fiz dsj Gligorijević Grigorije iz: fiz mat Lazarević Milena iz: fiz mat Rozman Marko iz: fiz mat </v>
      </c>
      <c r="D82" s="412"/>
      <c r="E82" s="412"/>
      <c r="F82" s="412"/>
      <c r="G82" s="412"/>
      <c r="H82" s="412"/>
      <c r="I82" s="412"/>
      <c r="J82" s="412"/>
      <c r="K82" s="412"/>
      <c r="L82" s="413"/>
      <c r="M82" s="413"/>
      <c r="N82" s="413"/>
      <c r="O82" s="413"/>
      <c r="P82" s="414"/>
      <c r="Q82" s="415"/>
      <c r="R82" s="415"/>
      <c r="S82" s="415"/>
      <c r="T82" s="415"/>
      <c r="U82" s="416"/>
    </row>
    <row r="83" spans="1:21" ht="12">
      <c r="A83" s="320" t="str">
        <f>TRIM(CONCATENATE(IF(B1&gt;2,A41," "),IF(B2&gt;2,A42," "),IF(B3&gt;2,A43," "),IF(B4&gt;2,A44," "),IF(B5&gt;2,A45," "),IF(B6&gt;2,A46," "),IF(B7&gt;2,A47," "),IF(B8&gt;2,A48," "),IF(B9&gt;2,A49," "),IF(B10&gt;2,A50," "),IF(B11&gt;2,A51," "),IF(B12&gt;2,A52," "),IF(B13&gt;2,A53," "),IF(B14&gt;2,A54," "),IF(B15&gt;2,A55," "),IF(B16&gt;2,A56," "),IF(B17&gt;2,A57," "),IF(B18&gt;2,A58," "),IF(B19&gt;2,A59," "),IF(B20&gt;2,A60," "),IF(B21&gt;2,A61," "),IF(B22&gt;2,A62," "),IF(B23&gt;2,A63," "),IF(B24&gt;2,A64," "),IF(B25&gt;2,A65," "),IF(B26&gt;2,A66," "),IF(B27&gt;2,A67," "),IF(B28&gt;2,A68," "),IF(B29&gt;2,A69," "),IF(B30&gt;2,A70," ")))</f>
        <v>Blagojević Nenad iz: psj fiz mat Milošević Stefan iz: srp fiz mat Tadić Vesna iz: psj ist mat</v>
      </c>
      <c r="B83" s="320">
        <f>TRIM(CONCATENATE(IF(B31&gt;2,A71," "),IF(B32&gt;2,A72," "),IF(B33&gt;2,A73," "),IF(B34&gt;2,A74," "),IF(B35&gt;2,A75," "),IF(B36&gt;2,A76," "),IF(B37&gt;2,A77," "),IF(B38&gt;2,A78," "),IF(B39&gt;2,A79," "),IF(B40&gt;2,A80," ")))</f>
      </c>
      <c r="C83" s="411" t="str">
        <f>CONCATENATE(A83," ",B83)</f>
        <v>Blagojević Nenad iz: psj fiz mat Milošević Stefan iz: srp fiz mat Tadić Vesna iz: psj ist mat </v>
      </c>
      <c r="D83" s="412"/>
      <c r="E83" s="412"/>
      <c r="F83" s="412"/>
      <c r="G83" s="412"/>
      <c r="H83" s="412"/>
      <c r="I83" s="412"/>
      <c r="J83" s="412"/>
      <c r="K83" s="412"/>
      <c r="L83" s="413"/>
      <c r="M83" s="413"/>
      <c r="N83" s="413"/>
      <c r="O83" s="413"/>
      <c r="P83" s="409"/>
      <c r="Q83" s="409"/>
      <c r="R83" s="409"/>
      <c r="S83" s="409"/>
      <c r="T83" s="409"/>
      <c r="U83" s="410"/>
    </row>
    <row r="84" spans="1:21" ht="12">
      <c r="A84" s="2" t="str">
        <f>TRIM(CONCATENATE(IF(Q1&lt;&gt;"",Q1," "),IF(Q2&lt;&gt;"",Q2," "),IF(Q3&lt;&gt;"",Q3," "),IF(Q4&lt;&gt;"",Q4," "),IF(Q5&lt;&gt;"",Q5," "),IF(Q6&lt;&gt;"",Q6," "),IF(Q7&lt;&gt;"",Q7," "),IF(Q8&lt;&gt;"",Q8," "),IF(Q9&lt;&gt;"",Q9," "),IF(Q10&lt;&gt;"",Q10," "),IF(Q11&lt;&gt;"",Q11," "),IF(Q12&lt;&gt;"",Q12," "),IF(Q13&lt;&gt;"",Q13," "),IF(Q14&lt;&gt;"",Q14," "),IF(Q15&lt;&gt;"",Q15," "),IF(Q16&lt;&gt;"",Q16," "),IF(Q17&lt;&gt;"",Q17," "),IF(Q18&lt;&gt;"",Q18," "),IF(Q19&lt;&gt;"",Q19," "),IF(Q20&lt;&gt;"",Q20," "),IF(Q21&lt;&gt;"",Q21," "),IF(Q22&lt;&gt;"",Q22," "),IF(Q23&lt;&gt;"",Q23," "),IF(Q24&lt;&gt;"",Q24," "),IF(Q25&lt;&gt;"",Q25," "),IF(Q26&lt;&gt;"",Q26," "),IF(Q27&lt;&gt;"",Q27," "),IF(Q28&lt;&gt;"",Q28," "),IF(Q29&lt;&gt;"",Q29," "),IF(Q30&lt;&gt;"",Q30," ")))</f>
        <v>Andjelković Jelena Brković Olivera Jelisavac Jovana Poček Sonja</v>
      </c>
      <c r="B84" s="320">
        <f>TRIM(CONCATENATE(IF(Q31&lt;&gt;"",Q31," "),IF(Q32&lt;&gt;"",Q32," "),IF(Q33&lt;&gt;2,Q33," "),IF(Q34&lt;&gt;"",Q34," "),IF(Q35&lt;&gt;"",Q35," "),IF(Q36&lt;&gt;"",Q36," "),IF(Q37&lt;&gt;"",Q37," "),IF(Q38&lt;&gt;"",Q38," "),IF(Q39&lt;&gt;"",Q39," "),IF(Q40&lt;&gt;"",Q40," ")))</f>
      </c>
      <c r="C84" s="411" t="str">
        <f>CONCATENATE(A84," ",B84)</f>
        <v>Andjelković Jelena Brković Olivera Jelisavac Jovana Poček Sonja </v>
      </c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6"/>
    </row>
    <row r="85" spans="2:21" ht="12">
      <c r="B85" s="2" t="str">
        <f>TRIM(CONCATENATE(IF(R1&lt;&gt;"",R1," "),IF(R2&lt;&gt;"",R2," "),IF(R3&lt;&gt;"",R3," "),IF(R4&lt;&gt;"",R4," "),IF(R5&lt;&gt;"",R5," "),IF(R6&lt;&gt;"",R6," "),IF(R7&lt;&gt;"",R7," "),IF(R8&lt;&gt;"",R8," "),IF(R9&lt;&gt;"",R9," "),IF(R10&lt;&gt;"",R10," "),IF(R11&lt;&gt;"",R11," "),IF(R12&lt;&gt;"",R12," "),IF(R13&lt;&gt;"",R13," "),IF(R14&lt;&gt;"",R14," "),IF(R15&lt;&gt;"",R15," "),IF(R16&lt;&gt;"",R16," "),IF(R17&lt;&gt;"",R17," "),IF(R18&lt;&gt;"",R18," "),IF(R19&lt;&gt;"",R19," "),IF(R20&lt;&gt;"",R20," "),IF(R21&lt;&gt;"",R21," "),IF(R22&lt;&gt;"",R22," "),IF(R23&lt;&gt;"",R23," "),IF(R24&lt;&gt;"",R24," "),IF(R25&lt;&gt;"",R25," "),IF(R26&lt;&gt;"",R26," "),IF(R27&lt;&gt;"",R27," "),IF(R28&lt;&gt;"",R28," "),IF(R29&lt;&gt;"",R29," "),IF(R30&lt;&gt;"",R30," ")))</f>
        <v>Blagojević Nenad 3 Veselinović Nemanja 3 Lazarević Milena 4 Milošević Stefan 4 Rozman Marko 4</v>
      </c>
      <c r="C85" s="2">
        <f>TRIM(CONCATENATE(IF(R31&lt;&gt;"",R31," "),IF(R32&lt;&gt;"",R32," "),IF(R33&lt;&gt;2,R33," "),IF(R34&lt;&gt;"",R34," "),IF(R35&lt;&gt;"",R35," "),IF(R36&lt;&gt;"",R36," "),IF(R37&lt;&gt;"",R37," "),IF(R38&lt;&gt;"",R38," "),IF(R39&lt;&gt;"",R39," "),IF(R40&lt;&gt;"",R40," ")))</f>
      </c>
      <c r="D85" s="417" t="str">
        <f>CONCATENATE(B85," ",C85)</f>
        <v>Blagojević Nenad 3 Veselinović Nemanja 3 Lazarević Milena 4 Milošević Stefan 4 Rozman Marko 4 </v>
      </c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/>
      <c r="U85" s="410"/>
    </row>
    <row r="86" ht="12">
      <c r="C86" s="2">
        <f>TRIM(CONCATENATE(IF(R31&lt;&gt;"",R31," "),IF(R32&lt;&gt;"",R32," "),IF(R33&lt;&gt;2,R33," "),IF(R34&lt;&gt;"",R34," "),IF(R35&lt;&gt;"",R35," "),IF(R36&lt;&gt;"",R36," "),IF(R37&lt;&gt;"",R37," "),IF(R38&lt;&gt;"",R38," "),IF(R39&lt;&gt;"",R39," "),IF(R40&lt;&gt;"",R40," ")))</f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2"/>
  <sheetViews>
    <sheetView zoomScale="88" zoomScaleNormal="88" workbookViewId="0" topLeftCell="A1">
      <selection activeCell="L17" sqref="A1:IV65536"/>
    </sheetView>
  </sheetViews>
  <sheetFormatPr defaultColWidth="9.140625" defaultRowHeight="12.75"/>
  <cols>
    <col min="1" max="2" width="3.7109375" style="2" customWidth="1"/>
    <col min="3" max="3" width="12.7109375" style="2" customWidth="1"/>
    <col min="4" max="5" width="3.7109375" style="2" customWidth="1"/>
    <col min="6" max="15" width="6.421875" style="2" customWidth="1"/>
    <col min="16" max="16" width="9.00390625" style="2" customWidth="1"/>
    <col min="17" max="19" width="3.7109375" style="2" customWidth="1"/>
    <col min="20" max="20" width="5.7109375" style="2" customWidth="1"/>
    <col min="21" max="21" width="12.7109375" style="2" customWidth="1"/>
    <col min="22" max="16384" width="9.00390625" style="2" customWidth="1"/>
  </cols>
  <sheetData>
    <row r="1" spans="1:17" ht="10.5" customHeight="1">
      <c r="A1" s="195"/>
      <c r="B1" s="195"/>
      <c r="C1" s="418" t="s">
        <v>137</v>
      </c>
      <c r="D1" s="346"/>
      <c r="E1" s="195"/>
      <c r="F1" s="195"/>
      <c r="G1" s="195"/>
      <c r="H1" s="201"/>
      <c r="I1" s="126"/>
      <c r="J1" s="126"/>
      <c r="K1" s="195"/>
      <c r="L1" s="195"/>
      <c r="M1" s="195"/>
      <c r="N1" s="195"/>
      <c r="O1" s="195"/>
      <c r="P1" s="195"/>
      <c r="Q1" s="195"/>
    </row>
    <row r="2" spans="1:17" ht="10.5" customHeight="1">
      <c r="A2" s="419"/>
      <c r="B2" s="420"/>
      <c r="C2" s="418"/>
      <c r="D2" s="200"/>
      <c r="E2" s="200"/>
      <c r="F2" s="195"/>
      <c r="G2" s="195"/>
      <c r="H2" s="195"/>
      <c r="I2" s="195"/>
      <c r="J2" s="195"/>
      <c r="K2" s="420"/>
      <c r="L2" s="420"/>
      <c r="M2" s="420" t="s">
        <v>137</v>
      </c>
      <c r="N2" s="420"/>
      <c r="O2" s="420"/>
      <c r="P2" s="420"/>
      <c r="Q2" s="419"/>
    </row>
    <row r="3" spans="1:20" ht="10.5" customHeight="1">
      <c r="A3" s="419"/>
      <c r="B3" s="421"/>
      <c r="C3" s="422" t="str">
        <f>IF((A!U3=1),"nezadovoljavajuće",IF(A!U3=CHAR(110),"neocenjen",IF(AND(A!U3&gt;=4.5,A!U3&lt;=5),"primerno",IF(AND(A!U3&lt;4.5,A!U3&gt;=3.5),"vrlodobro",IF(AND(A!U3&lt;3.5,A!U3&gt;=2.5),"dobro",IF(AND(A!U3&lt;2.5,A!U3&gt;=2),"zadovoljavajuće",IF(OR(A!U3&lt;1,A!U3&gt;5),"")))))))</f>
        <v>primerno</v>
      </c>
      <c r="D3" s="423" t="str">
        <f>IF((A!U3=1),"( 1 )",IF(A!U3=CHAR(110),"neocenjen",IF(AND(A!U3&gt;=4.5,A!U3&lt;=5),"( 5 )",IF(AND(A!U3&lt;4.5,A!U3&gt;=3.5),"( 4 )",IF(AND(A!U3&lt;3.5,A!U3&gt;=2.5),"( 3 )",IF(AND(A!U3&lt;2.5,A!U3&gt;=2),"( 2 )",IF(OR(A!U3&lt;1,A!U3&gt;5),"")))))))</f>
        <v>( 5 )</v>
      </c>
      <c r="E3" s="424"/>
      <c r="F3" s="346"/>
      <c r="G3" s="425"/>
      <c r="H3" s="426"/>
      <c r="I3" s="201"/>
      <c r="J3" s="201"/>
      <c r="K3" s="427" t="s">
        <v>119</v>
      </c>
      <c r="L3" s="428"/>
      <c r="M3" s="201"/>
      <c r="N3" s="200"/>
      <c r="O3" s="200"/>
      <c r="P3" s="429" t="s">
        <v>137</v>
      </c>
      <c r="Q3" s="429"/>
      <c r="T3" s="430" t="e">
        <f>SUM(IF(B!#REF!="neocenjen",1)+IF(B!#REF!="neocenjen",1)+IF(B!#REF!="neocenjen",1)+IF(B!#REF!="neocenjen",1)+IF(B!#REF!="neocenjen",1)+IF(B!#REF!="neocenjen",1)+IF(B!#REF!="neocenjen",1)+IF(B!#REF!="neocenjen",1)+IF(B!#REF!="neocenjen",1)+IF(B!#REF!="neocenjen",1)+IF(B!#REF!="neocenjen",1)+IF(B!#REF!="neocenjen",1)+IF(B!U1="neocenjen",1)+IF(B!U2="neocenjen",1)+IF(B!U3="neocenjen",1)+IF(B!U4="neocenjen",1)+IF(B!U5="neocenjen",1)+IF(B!U6="neocenjen",1)+IF(B!U7="neocenjen",1)+IF(B!U8="neocenjen",1)+IF(B!U9="neocenjen",1)+IF(B!U10="neocenjen",1)+IF(B!U11="neocenjen",1)+IF(B!U12="neocenjen",1)+IF(B!U13="neocenjen",1)+IF(B!U14="neocenjen",1)+IF(B!U15="neocenjen",1)+IF(B!U16="neocenjen",1)+IF(B!U17="neocenjen",1)+IF(B!U18="neocenjen",1)+IF(B!U19="neocenjen",1)+IF(B!U20="neocenjen",1)+IF(B!U21="neocenjen",1)+IF(B!U22="neocenjen",1)+IF(B!U23="neocenjen",1)+IF(B!U24="neocenjen",1)+IF(B!U25="neocenjen",1)+IF(B!U26="neocenjen",1))</f>
        <v>#REF!</v>
      </c>
    </row>
    <row r="4" spans="1:21" ht="10.5" customHeight="1">
      <c r="A4" s="419"/>
      <c r="B4" s="431"/>
      <c r="C4" s="422" t="str">
        <f>IF((A!U4=1),"nezadovoljavajuće",IF(A!U4=CHAR(110),"neocenjen",IF(AND(A!U4&gt;=4.5,A!U4&lt;=5),"primerno",IF(AND(A!U4&lt;4.5,A!U4&gt;=3.5),"vrlodobro",IF(AND(A!U4&lt;3.5,A!U4&gt;=2.5),"dobro",IF(AND(A!U4&lt;2.5,A!U4&gt;=2),"zadovoljavajuće",IF(OR(A!U4&lt;1,A!U4&gt;5),"")))))))</f>
        <v>dobro</v>
      </c>
      <c r="D4" s="423" t="str">
        <f>IF((A!U4=1),"( 1 )",IF(A!U4=CHAR(110),"neocenjen",IF(AND(A!U4&gt;=4.5,A!U4&lt;=5),"( 5 )",IF(AND(A!U4&lt;4.5,A!U4&gt;=3.5),"( 4 )",IF(AND(A!U4&lt;3.5,A!U4&gt;=2.5),"( 3 )",IF(AND(A!U4&lt;2.5,A!U4&gt;=2),"( 2 )",IF(OR(A!U4&lt;1,A!U4&gt;5),"")))))))</f>
        <v>( 3 )</v>
      </c>
      <c r="E4" s="346"/>
      <c r="F4" s="346"/>
      <c r="G4" s="346"/>
      <c r="H4" s="346"/>
      <c r="I4" s="346"/>
      <c r="J4" s="346"/>
      <c r="K4" s="359">
        <f>IF(T4="Nema","Nema",T4*10000/(SUM(T4:T8)*10000+0.5))</f>
        <v>0.772725516532917</v>
      </c>
      <c r="L4" s="359"/>
      <c r="M4" s="432"/>
      <c r="N4" s="432"/>
      <c r="O4" s="346"/>
      <c r="P4" s="346" t="s">
        <v>284</v>
      </c>
      <c r="Q4" s="346"/>
      <c r="R4" s="346"/>
      <c r="S4" s="346"/>
      <c r="T4" s="346">
        <f>COUNTIF(A!U3:A!U42,5)</f>
        <v>17</v>
      </c>
      <c r="U4" s="346"/>
    </row>
    <row r="5" spans="1:21" ht="10.5" customHeight="1">
      <c r="A5" s="195"/>
      <c r="B5" s="200"/>
      <c r="C5" s="422" t="str">
        <f>IF((A!U5=1),"nezadovoljavajuće",IF(A!U5=CHAR(110),"neocenjen",IF(AND(A!U5&gt;=4.5,A!U5&lt;=5),"primerno",IF(AND(A!U5&lt;4.5,A!U5&gt;=3.5),"vrlodobro",IF(AND(A!U5&lt;3.5,A!U5&gt;=2.5),"dobro",IF(AND(A!U5&lt;2.5,A!U5&gt;=2),"zadovoljavajuće",IF(OR(A!U5&lt;1,A!U5&gt;5),"")))))))</f>
        <v>primerno</v>
      </c>
      <c r="D5" s="423" t="str">
        <f>IF((A!U5=1),"( 1 )",IF(A!U5=CHAR(110),"neocenjen",IF(AND(A!U5&gt;=4.5,A!U5&lt;=5),"( 5 )",IF(AND(A!U5&lt;4.5,A!U5&gt;=3.5),"( 4 )",IF(AND(A!U5&lt;3.5,A!U5&gt;=2.5),"( 3 )",IF(AND(A!U5&lt;2.5,A!U5&gt;=2),"( 2 )",IF(OR(A!U5&lt;1,A!U5&gt;5),"")))))))</f>
        <v>( 5 )</v>
      </c>
      <c r="E5" s="346"/>
      <c r="F5" s="346"/>
      <c r="G5" s="346"/>
      <c r="H5" s="346"/>
      <c r="I5" s="346"/>
      <c r="J5" s="346"/>
      <c r="K5" s="359">
        <f>IF(T5="Nema","Nema",T5*10000/(SUM(T4:T8)*10000+0.5))</f>
        <v>0.13636332644698534</v>
      </c>
      <c r="L5" s="359"/>
      <c r="M5" s="432"/>
      <c r="N5" s="432"/>
      <c r="O5" s="346"/>
      <c r="P5" s="346" t="s">
        <v>285</v>
      </c>
      <c r="Q5" s="346"/>
      <c r="R5" s="346"/>
      <c r="S5" s="346"/>
      <c r="T5" s="346">
        <f>COUNTIF(A!U3:A!U42,4)</f>
        <v>3</v>
      </c>
      <c r="U5" s="385"/>
    </row>
    <row r="6" spans="1:21" ht="10.5" customHeight="1">
      <c r="A6" s="195"/>
      <c r="B6" s="274"/>
      <c r="C6" s="422" t="str">
        <f>IF((A!U6=1),"nezadovoljavajuće",IF(A!U6=CHAR(110),"neocenjen",IF(AND(A!U6&gt;=4.5,A!U6&lt;=5),"primerno",IF(AND(A!U6&lt;4.5,A!U6&gt;=3.5),"vrlodobro",IF(AND(A!U6&lt;3.5,A!U6&gt;=2.5),"dobro",IF(AND(A!U6&lt;2.5,A!U6&gt;=2),"zadovoljavajuće",IF(OR(A!U6&lt;1,A!U6&gt;5),"")))))))</f>
        <v>primerno</v>
      </c>
      <c r="D6" s="423" t="str">
        <f>IF((A!U6=1),"( 1 )",IF(A!U6=CHAR(110),"neocenjen",IF(AND(A!U6&gt;=4.5,A!U6&lt;=5),"( 5 )",IF(AND(A!U6&lt;4.5,A!U6&gt;=3.5),"( 4 )",IF(AND(A!U6&lt;3.5,A!U6&gt;=2.5),"( 3 )",IF(AND(A!U6&lt;2.5,A!U6&gt;=2),"( 2 )",IF(OR(A!U6&lt;1,A!U6&gt;5),"")))))))</f>
        <v>( 5 )</v>
      </c>
      <c r="E6" s="346"/>
      <c r="F6" s="346"/>
      <c r="G6" s="346"/>
      <c r="H6" s="346"/>
      <c r="I6" s="346"/>
      <c r="J6" s="346"/>
      <c r="K6" s="359">
        <f>IF(T6="Nema","Nema",T6*10000/(SUM(T4:T8)*10000+0.5))</f>
        <v>0.09090888429799023</v>
      </c>
      <c r="L6" s="359"/>
      <c r="M6" s="432"/>
      <c r="N6" s="432"/>
      <c r="O6" s="346"/>
      <c r="P6" s="346" t="s">
        <v>284</v>
      </c>
      <c r="Q6" s="126"/>
      <c r="T6" s="346">
        <f>COUNTIF(A!U3:A!U42,3)</f>
        <v>2</v>
      </c>
      <c r="U6" s="385"/>
    </row>
    <row r="7" spans="1:21" ht="10.5" customHeight="1">
      <c r="A7" s="195"/>
      <c r="B7" s="274"/>
      <c r="C7" s="422" t="str">
        <f>IF((A!U7=1),"nezadovoljavajuće",IF(A!U7=CHAR(110),"neocenjen",IF(AND(A!U7&gt;=4.5,A!U7&lt;=5),"primerno",IF(AND(A!U7&lt;4.5,A!U7&gt;=3.5),"vrlodobro",IF(AND(A!U7&lt;3.5,A!U7&gt;=2.5),"dobro",IF(AND(A!U7&lt;2.5,A!U7&gt;=2),"zadovoljavajuće",IF(OR(A!U7&lt;1,A!U7&gt;5),"")))))))</f>
        <v>dobro</v>
      </c>
      <c r="D7" s="423" t="str">
        <f>IF((A!U7=1),"( 1 )",IF(A!U7=CHAR(110),"neocenjen",IF(AND(A!U7&gt;=4.5,A!U7&lt;=5),"( 5 )",IF(AND(A!U7&lt;4.5,A!U7&gt;=3.5),"( 4 )",IF(AND(A!U7&lt;3.5,A!U7&gt;=2.5),"( 3 )",IF(AND(A!U7&lt;2.5,A!U7&gt;=2),"( 2 )",IF(OR(A!U7&lt;1,A!U7&gt;5),"")))))))</f>
        <v>( 3 )</v>
      </c>
      <c r="E7" s="346"/>
      <c r="F7" s="346"/>
      <c r="G7" s="346"/>
      <c r="H7" s="346"/>
      <c r="I7" s="346"/>
      <c r="J7" s="346"/>
      <c r="K7" s="359">
        <f>IF(T7="Nema","Nema",T7*10000/(SUM(T4:T8)*10000+0.5))</f>
        <v>0</v>
      </c>
      <c r="L7" s="359"/>
      <c r="M7" s="432"/>
      <c r="N7" s="432"/>
      <c r="O7" s="346"/>
      <c r="P7" s="346" t="s">
        <v>284</v>
      </c>
      <c r="Q7" s="126"/>
      <c r="T7" s="346">
        <f>COUNTIF(A!U3:A!U42,2)</f>
        <v>0</v>
      </c>
      <c r="U7" s="385"/>
    </row>
    <row r="8" spans="1:21" ht="10.5" customHeight="1">
      <c r="A8" s="195"/>
      <c r="B8" s="274"/>
      <c r="C8" s="422" t="str">
        <f>IF((A!U8=1),"nezadovoljavajuće",IF(A!U8=CHAR(110),"neocenjen",IF(AND(A!U8&gt;=4.5,A!U8&lt;=5),"primerno",IF(AND(A!U8&lt;4.5,A!U8&gt;=3.5),"vrlodobro",IF(AND(A!U8&lt;3.5,A!U8&gt;=2.5),"dobro",IF(AND(A!U8&lt;2.5,A!U8&gt;=2),"zadovoljavajuće",IF(OR(A!U8&lt;1,A!U8&gt;5),"")))))))</f>
        <v>primerno</v>
      </c>
      <c r="D8" s="423" t="str">
        <f>IF((A!U8=1),"( 1 )",IF(A!U8=CHAR(110),"neocenjen",IF(AND(A!U8&gt;=4.5,A!U8&lt;=5),"( 5 )",IF(AND(A!U8&lt;4.5,A!U8&gt;=3.5),"( 4 )",IF(AND(A!U8&lt;3.5,A!U8&gt;=2.5),"( 3 )",IF(AND(A!U8&lt;2.5,A!U8&gt;=2),"( 2 )",IF(OR(A!U8&lt;1,A!U8&gt;5),"")))))))</f>
        <v>( 5 )</v>
      </c>
      <c r="E8" s="346"/>
      <c r="F8" s="346"/>
      <c r="G8" s="346"/>
      <c r="H8" s="346"/>
      <c r="I8" s="346"/>
      <c r="J8" s="346"/>
      <c r="K8" s="359">
        <f>IF(T8="Nema","Nema",T8*10000/(SUM(T4:T8)*10000+0.5))</f>
        <v>0</v>
      </c>
      <c r="L8" s="359"/>
      <c r="M8" s="432"/>
      <c r="N8" s="432"/>
      <c r="O8" s="346"/>
      <c r="P8" s="346" t="s">
        <v>286</v>
      </c>
      <c r="Q8" s="126"/>
      <c r="T8" s="346">
        <f>COUNTIF(A!U3:A!U42,1)</f>
        <v>0</v>
      </c>
      <c r="U8" s="385"/>
    </row>
    <row r="9" spans="1:20" ht="10.5" customHeight="1">
      <c r="A9" s="195"/>
      <c r="B9" s="433"/>
      <c r="C9" s="422" t="str">
        <f>IF((A!U9=1),"nezadovoljavajuće",IF(A!U9=CHAR(110),"neocenjen",IF(AND(A!U9&gt;=4.5,A!U9&lt;=5),"primerno",IF(AND(A!U9&lt;4.5,A!U9&gt;=3.5),"vrlodobro",IF(AND(A!U9&lt;3.5,A!U9&gt;=2.5),"dobro",IF(AND(A!U9&lt;2.5,A!U9&gt;=2),"zadovoljavajuće",IF(OR(A!U9&lt;1,A!U9&gt;5),"")))))))</f>
        <v>primerno</v>
      </c>
      <c r="D9" s="423" t="str">
        <f>IF((A!U9=1),"( 1 )",IF(A!U9=CHAR(110),"neocenjen",IF(AND(A!U9&gt;=4.5,A!U9&lt;=5),"( 5 )",IF(AND(A!U9&lt;4.5,A!U9&gt;=3.5),"( 4 )",IF(AND(A!U9&lt;3.5,A!U9&gt;=2.5),"( 3 )",IF(AND(A!U9&lt;2.5,A!U9&gt;=2),"( 2 )",IF(OR(A!U9&lt;1,A!U9&gt;5),"")))))))</f>
        <v>( 5 )</v>
      </c>
      <c r="E9" s="434"/>
      <c r="F9" s="434"/>
      <c r="G9" s="125"/>
      <c r="H9" s="125"/>
      <c r="I9" s="125"/>
      <c r="J9" s="125"/>
      <c r="K9" s="435"/>
      <c r="L9" s="435"/>
      <c r="M9" s="435"/>
      <c r="N9" s="435"/>
      <c r="O9" s="125"/>
      <c r="P9" s="436" t="s">
        <v>287</v>
      </c>
      <c r="Q9" s="436"/>
      <c r="T9" s="437">
        <f>SUM((T4*5),(T5*4),T6*3,T7*2,T8)/(T4+T5+T6+T7+T8)</f>
        <v>4.681818181818182</v>
      </c>
    </row>
    <row r="10" spans="1:17" ht="10.5" customHeight="1">
      <c r="A10" s="195"/>
      <c r="B10" s="433"/>
      <c r="C10" s="422" t="str">
        <f>IF((A!U10=1),"nezadovoljavajuće",IF(A!U10=CHAR(110),"neocenjen",IF(AND(A!U10&gt;=4.5,A!U10&lt;=5),"primerno",IF(AND(A!U10&lt;4.5,A!U10&gt;=3.5),"vrlodobro",IF(AND(A!U10&lt;3.5,A!U10&gt;=2.5),"dobro",IF(AND(A!U10&lt;2.5,A!U10&gt;=2),"zadovoljavajuće",IF(OR(A!U10&lt;1,A!U10&gt;5),"")))))))</f>
        <v>primerno</v>
      </c>
      <c r="D10" s="423" t="str">
        <f>IF((A!U10=1),"( 1 )",IF(A!U10=CHAR(110),"neocenjen",IF(AND(A!U10&gt;=4.5,A!U10&lt;=5),"( 5 )",IF(AND(A!U10&lt;4.5,A!U10&gt;=3.5),"( 4 )",IF(AND(A!U10&lt;3.5,A!U10&gt;=2.5),"( 3 )",IF(AND(A!U10&lt;2.5,A!U10&gt;=2),"( 2 )",IF(OR(A!U10&lt;1,A!U10&gt;5),"")))))))</f>
        <v>( 5 )</v>
      </c>
      <c r="E10" s="434"/>
      <c r="F10" s="434"/>
      <c r="G10" s="125"/>
      <c r="H10" s="125"/>
      <c r="I10" s="125"/>
      <c r="J10" s="125"/>
      <c r="K10" s="435"/>
      <c r="L10" s="435"/>
      <c r="M10" s="435"/>
      <c r="N10" s="435"/>
      <c r="O10" s="125"/>
      <c r="P10" s="125"/>
      <c r="Q10" s="126"/>
    </row>
    <row r="11" spans="1:20" ht="10.5" customHeight="1">
      <c r="A11" s="195"/>
      <c r="B11" s="438"/>
      <c r="C11" s="422" t="str">
        <f>IF((A!U11=1),"nezadovoljavajuće",IF(A!U11=CHAR(110),"neocenjen",IF(AND(A!U11&gt;=4.5,A!U11&lt;=5),"primerno",IF(AND(A!U11&lt;4.5,A!U11&gt;=3.5),"vrlodobro",IF(AND(A!U11&lt;3.5,A!U11&gt;=2.5),"dobro",IF(AND(A!U11&lt;2.5,A!U11&gt;=2),"zadovoljavajuće",IF(OR(A!U11&lt;1,A!U11&gt;5),"")))))))</f>
        <v>primerno</v>
      </c>
      <c r="D11" s="423" t="str">
        <f>IF((A!U11=1),"( 1 )",IF(A!U11=CHAR(110),"neocenjen",IF(AND(A!U11&gt;=4.5,A!U11&lt;=5),"( 5 )",IF(AND(A!U11&lt;4.5,A!U11&gt;=3.5),"( 4 )",IF(AND(A!U11&lt;3.5,A!U11&gt;=2.5),"( 3 )",IF(AND(A!U11&lt;2.5,A!U11&gt;=2),"( 2 )",IF(OR(A!U11&lt;1,A!U11&gt;5),"")))))))</f>
        <v>( 5 )</v>
      </c>
      <c r="E11" s="438"/>
      <c r="F11" s="438"/>
      <c r="G11" s="421"/>
      <c r="H11" s="421"/>
      <c r="I11" s="421"/>
      <c r="J11" s="421"/>
      <c r="K11" s="431"/>
      <c r="L11" s="431"/>
      <c r="M11" s="431"/>
      <c r="N11" s="439"/>
      <c r="O11" s="201"/>
      <c r="P11" s="195"/>
      <c r="Q11" s="195"/>
      <c r="T11" s="430"/>
    </row>
    <row r="12" spans="1:17" ht="10.5" customHeight="1">
      <c r="A12" s="195"/>
      <c r="B12" s="440"/>
      <c r="C12" s="422" t="str">
        <f>IF((A!U12=1),"nezadovoljavajuće",IF(A!U12=CHAR(110),"neocenjen",IF(AND(A!U12&gt;=4.5,A!U12&lt;=5),"primerno",IF(AND(A!U12&lt;4.5,A!U12&gt;=3.5),"vrlodobro",IF(AND(A!U12&lt;3.5,A!U12&gt;=2.5),"dobro",IF(AND(A!U12&lt;2.5,A!U12&gt;=2),"zadovoljavajuće",IF(OR(A!U12&lt;1,A!U12&gt;5),"")))))))</f>
        <v>primerno</v>
      </c>
      <c r="D12" s="423" t="str">
        <f>IF((A!U12=1),"( 1 )",IF(A!U12=CHAR(110),"neocenjen",IF(AND(A!U12&gt;=4.5,A!U12&lt;=5),"( 5 )",IF(AND(A!U12&lt;4.5,A!U12&gt;=3.5),"( 4 )",IF(AND(A!U12&lt;3.5,A!U12&gt;=2.5),"( 3 )",IF(AND(A!U12&lt;2.5,A!U12&gt;=2),"( 2 )",IF(OR(A!U12&lt;1,A!U12&gt;5),"")))))))</f>
        <v>( 5 )</v>
      </c>
      <c r="E12" s="357"/>
      <c r="F12" s="441"/>
      <c r="G12" s="442"/>
      <c r="H12" s="442"/>
      <c r="I12" s="442"/>
      <c r="J12" s="442"/>
      <c r="K12" s="443"/>
      <c r="L12" s="444"/>
      <c r="M12" s="445"/>
      <c r="N12" s="445"/>
      <c r="O12" s="446"/>
      <c r="P12" s="446"/>
      <c r="Q12" s="446"/>
    </row>
    <row r="13" spans="1:17" ht="10.5" customHeight="1">
      <c r="A13" s="195"/>
      <c r="B13" s="184"/>
      <c r="C13" s="422" t="str">
        <f>IF((A!U13=1),"nezadovoljavajuće",IF(A!U13=CHAR(110),"neocenjen",IF(AND(A!U13&gt;=4.5,A!U13&lt;=5),"primerno",IF(AND(A!U13&lt;4.5,A!U13&gt;=3.5),"vrlodobro",IF(AND(A!U13&lt;3.5,A!U13&gt;=2.5),"dobro",IF(AND(A!U13&lt;2.5,A!U13&gt;=2),"zadovoljavajuće",IF(OR(A!U13&lt;1,A!U13&gt;5),"")))))))</f>
        <v>vrlodobro</v>
      </c>
      <c r="D13" s="423" t="str">
        <f>IF((A!U13=1),"( 1 )",IF(A!U13=CHAR(110),"neocenjen",IF(AND(A!U13&gt;=4.5,A!U13&lt;=5),"( 5 )",IF(AND(A!U13&lt;4.5,A!U13&gt;=3.5),"( 4 )",IF(AND(A!U13&lt;3.5,A!U13&gt;=2.5),"( 3 )",IF(AND(A!U13&lt;2.5,A!U13&gt;=2),"( 2 )",IF(OR(A!U13&lt;1,A!U13&gt;5),"")))))))</f>
        <v>( 4 )</v>
      </c>
      <c r="E13" s="357"/>
      <c r="F13" s="447"/>
      <c r="G13" s="442"/>
      <c r="H13" s="442"/>
      <c r="I13" s="442"/>
      <c r="J13" s="448"/>
      <c r="K13" s="359"/>
      <c r="L13" s="449"/>
      <c r="M13" s="124"/>
      <c r="N13" s="124"/>
      <c r="O13" s="124"/>
      <c r="P13" s="124"/>
      <c r="Q13" s="124"/>
    </row>
    <row r="14" spans="1:17" ht="10.5" customHeight="1">
      <c r="A14" s="195"/>
      <c r="B14" s="184"/>
      <c r="C14" s="422" t="str">
        <f>IF((A!U14=1),"nezadovoljavajuće",IF(A!U14=CHAR(110),"neocenjen",IF(AND(A!U14&gt;=4.5,A!U14&lt;=5),"primerno",IF(AND(A!U14&lt;4.5,A!U14&gt;=3.5),"vrlodobro",IF(AND(A!U14&lt;3.5,A!U14&gt;=2.5),"dobro",IF(AND(A!U14&lt;2.5,A!U14&gt;=2),"zadovoljavajuće",IF(OR(A!U14&lt;1,A!U14&gt;5),"")))))))</f>
        <v>primerno</v>
      </c>
      <c r="D14" s="423" t="str">
        <f>IF((A!U14=1),"( 1 )",IF(A!U14=CHAR(110),"neocenjen",IF(AND(A!U14&gt;=4.5,A!U14&lt;=5),"( 5 )",IF(AND(A!U14&lt;4.5,A!U14&gt;=3.5),"( 4 )",IF(AND(A!U14&lt;3.5,A!U14&gt;=2.5),"( 3 )",IF(AND(A!U14&lt;2.5,A!U14&gt;=2),"( 2 )",IF(OR(A!U14&lt;1,A!U14&gt;5),"")))))))</f>
        <v>( 5 )</v>
      </c>
      <c r="E14" s="357"/>
      <c r="F14" s="447"/>
      <c r="G14" s="442"/>
      <c r="H14" s="442"/>
      <c r="I14" s="442"/>
      <c r="J14" s="448"/>
      <c r="K14" s="359"/>
      <c r="L14" s="449"/>
      <c r="M14" s="124"/>
      <c r="N14" s="124"/>
      <c r="O14" s="124"/>
      <c r="P14" s="124">
        <f>T4*5</f>
        <v>85</v>
      </c>
      <c r="Q14" s="124"/>
    </row>
    <row r="15" spans="1:19" ht="10.5" customHeight="1">
      <c r="A15" s="195"/>
      <c r="B15" s="184"/>
      <c r="C15" s="422" t="str">
        <f>IF((A!U15=1),"nezadovoljavajuće",IF(A!U15=CHAR(110),"neocenjen",IF(AND(A!U15&gt;=4.5,A!U15&lt;=5),"primerno",IF(AND(A!U15&lt;4.5,A!U15&gt;=3.5),"vrlodobro",IF(AND(A!U15&lt;3.5,A!U15&gt;=2.5),"dobro",IF(AND(A!U15&lt;2.5,A!U15&gt;=2),"zadovoljavajuće",IF(OR(A!U15&lt;1,A!U15&gt;5),"")))))))</f>
        <v>primerno</v>
      </c>
      <c r="D15" s="423" t="str">
        <f>IF((A!U15=1),"( 1 )",IF(A!U15=CHAR(110),"neocenjen",IF(AND(A!U15&gt;=4.5,A!U15&lt;=5),"( 5 )",IF(AND(A!U15&lt;4.5,A!U15&gt;=3.5),"( 4 )",IF(AND(A!U15&lt;3.5,A!U15&gt;=2.5),"( 3 )",IF(AND(A!U15&lt;2.5,A!U15&gt;=2),"( 2 )",IF(OR(A!U15&lt;1,A!U15&gt;5),"")))))))</f>
        <v>( 5 )</v>
      </c>
      <c r="E15" s="357"/>
      <c r="F15" s="447"/>
      <c r="G15" s="442"/>
      <c r="H15" s="442"/>
      <c r="I15" s="442"/>
      <c r="J15" s="448"/>
      <c r="K15" s="359"/>
      <c r="L15" s="449"/>
      <c r="M15" s="124"/>
      <c r="N15" s="124"/>
      <c r="O15" s="124"/>
      <c r="P15" s="124"/>
      <c r="Q15" s="124"/>
      <c r="S15" s="450"/>
    </row>
    <row r="16" spans="1:17" ht="10.5" customHeight="1">
      <c r="A16" s="195"/>
      <c r="B16" s="184"/>
      <c r="C16" s="422" t="str">
        <f>IF((A!U16=1),"nezadovoljavajuće",IF(A!U16=CHAR(110),"neocenjen",IF(AND(A!U16&gt;=4.5,A!U16&lt;=5),"primerno",IF(AND(A!U16&lt;4.5,A!U16&gt;=3.5),"vrlodobro",IF(AND(A!U16&lt;3.5,A!U16&gt;=2.5),"dobro",IF(AND(A!U16&lt;2.5,A!U16&gt;=2),"zadovoljavajuće",IF(OR(A!U16&lt;1,A!U16&gt;5),"")))))))</f>
        <v>primerno</v>
      </c>
      <c r="D16" s="423" t="str">
        <f>IF((A!U16=1),"( 1 )",IF(A!U16=CHAR(110),"neocenjen",IF(AND(A!U16&gt;=4.5,A!U16&lt;=5),"( 5 )",IF(AND(A!U16&lt;4.5,A!U16&gt;=3.5),"( 4 )",IF(AND(A!U16&lt;3.5,A!U16&gt;=2.5),"( 3 )",IF(AND(A!U16&lt;2.5,A!U16&gt;=2),"( 2 )",IF(OR(A!U16&lt;1,A!U16&gt;5),"")))))))</f>
        <v>( 5 )</v>
      </c>
      <c r="E16" s="357"/>
      <c r="F16" s="447"/>
      <c r="G16" s="442"/>
      <c r="H16" s="442"/>
      <c r="I16" s="442"/>
      <c r="J16" s="448"/>
      <c r="K16" s="359"/>
      <c r="L16" s="449"/>
      <c r="M16" s="124"/>
      <c r="N16" s="124"/>
      <c r="O16" s="124"/>
      <c r="P16" s="124"/>
      <c r="Q16" s="124"/>
    </row>
    <row r="17" spans="1:20" ht="10.5" customHeight="1">
      <c r="A17" s="195"/>
      <c r="B17" s="184"/>
      <c r="C17" s="422" t="str">
        <f>IF((A!U17=1),"nezadovoljavajuće",IF(A!U17=CHAR(110),"neocenjen",IF(AND(A!U17&gt;=4.5,A!U17&lt;=5),"primerno",IF(AND(A!U17&lt;4.5,A!U17&gt;=3.5),"vrlodobro",IF(AND(A!U17&lt;3.5,A!U17&gt;=2.5),"dobro",IF(AND(A!U17&lt;2.5,A!U17&gt;=2),"zadovoljavajuće",IF(OR(A!U17&lt;1,A!U17&gt;5),"")))))))</f>
        <v>vrlodobro</v>
      </c>
      <c r="D17" s="423" t="str">
        <f>IF((A!U17=1),"( 1 )",IF(A!U17=CHAR(110),"neocenjen",IF(AND(A!U17&gt;=4.5,A!U17&lt;=5),"( 5 )",IF(AND(A!U17&lt;4.5,A!U17&gt;=3.5),"( 4 )",IF(AND(A!U17&lt;3.5,A!U17&gt;=2.5),"( 3 )",IF(AND(A!U17&lt;2.5,A!U17&gt;=2),"( 2 )",IF(OR(A!U17&lt;1,A!U17&gt;5),"")))))))</f>
        <v>( 4 )</v>
      </c>
      <c r="E17" s="124"/>
      <c r="F17" s="447"/>
      <c r="G17" s="442"/>
      <c r="H17" s="442"/>
      <c r="I17" s="442"/>
      <c r="J17" s="448"/>
      <c r="K17" s="359"/>
      <c r="L17" s="449"/>
      <c r="M17" s="124"/>
      <c r="N17" s="124"/>
      <c r="O17" s="124"/>
      <c r="P17" s="124"/>
      <c r="Q17" s="124"/>
      <c r="T17" s="430"/>
    </row>
    <row r="18" spans="1:20" ht="10.5" customHeight="1">
      <c r="A18" s="195"/>
      <c r="B18" s="184"/>
      <c r="C18" s="422" t="str">
        <f>IF((A!U18=1),"nezadovoljavajuće",IF(A!U18=CHAR(110),"neocenjen",IF(AND(A!U18&gt;=4.5,A!U18&lt;=5),"primerno",IF(AND(A!U18&lt;4.5,A!U18&gt;=3.5),"vrlodobro",IF(AND(A!U18&lt;3.5,A!U18&gt;=2.5),"dobro",IF(AND(A!U18&lt;2.5,A!U18&gt;=2),"zadovoljavajuće",IF(OR(A!U18&lt;1,A!U18&gt;5),"")))))))</f>
        <v>primerno</v>
      </c>
      <c r="D18" s="423" t="str">
        <f>IF((A!U18=1),"( 1 )",IF(A!U18=CHAR(110),"neocenjen",IF(AND(A!U18&gt;=4.5,A!U18&lt;=5),"( 5 )",IF(AND(A!U18&lt;4.5,A!U18&gt;=3.5),"( 4 )",IF(AND(A!U18&lt;3.5,A!U18&gt;=2.5),"( 3 )",IF(AND(A!U18&lt;2.5,A!U18&gt;=2),"( 2 )",IF(OR(A!U18&lt;1,A!U18&gt;5),"")))))))</f>
        <v>( 5 )</v>
      </c>
      <c r="E18" s="357"/>
      <c r="F18" s="451"/>
      <c r="G18" s="442"/>
      <c r="H18" s="442"/>
      <c r="I18" s="442"/>
      <c r="J18" s="448"/>
      <c r="K18" s="452"/>
      <c r="L18" s="124"/>
      <c r="M18" s="124"/>
      <c r="N18" s="124"/>
      <c r="O18" s="124"/>
      <c r="P18" s="124"/>
      <c r="Q18" s="124"/>
      <c r="T18" s="430">
        <f>SUM(IF(B!U4="neocenjen",1)+IF(B!U5="neocenjen",1)+IF(B!U6="neocenjen",1)+IF(B!U7="neocenjen",1)+IF(B!U8="neocenjen",1)+IF(B!U9="neocenjen",1)+IF(B!U10="neocenjen",1)+IF(B!U11="neocenjen",1)+IF(B!U12="neocenjen",1)+IF(B!U13="neocenjen",1)+IF(B!U14="neocenjen",1)+IF(B!U15="neocenjen",1)+IF(B!U16="neocenjen",1)+IF(B!U17="neocenjen",1)+IF(B!U18="neocenjen",1)+IF(B!U19="neocenjen",1)+IF(B!U20="neocenjen",1)+IF(B!U21="neocenjen",1)+IF(B!U22="neocenjen",1)+IF(B!U23="neocenjen",1)+IF(B!U24="neocenjen",1)+IF(B!U25="neocenjen",1)+IF(B!U26="neocenjen",1)+IF(B!U27="neocenjen",1)+IF(B!U28="neocenjen",1)+IF(B!U29="neocenjen",1)+IF(B!U30="neocenjen",1)+IF(B!U31="neocenjen",1)+IF(B!U32="neocenjen",1)+IF(B!U33="neocenjen",1)+IF(B!U34="neocenjen",1)+IF(B!U35="neocenjen",1)+IF(B!U36="neocenjen",1)+IF(B!U37="neocenjen",1)+IF(B!U38="neocenjen",1)+IF(B!U39="neocenjen",1)+IF(B!U40="neocenjen",1)+IF(B!U41="neocenjen",1))</f>
        <v>0</v>
      </c>
    </row>
    <row r="19" spans="1:17" ht="10.5" customHeight="1">
      <c r="A19" s="195"/>
      <c r="B19" s="195"/>
      <c r="C19" s="422" t="str">
        <f>IF((A!U19=1),"nezadovoljavajuće",IF(A!U19=CHAR(110),"neocenjen",IF(AND(A!U19&gt;=4.5,A!U19&lt;=5),"primerno",IF(AND(A!U19&lt;4.5,A!U19&gt;=3.5),"vrlodobro",IF(AND(A!U19&lt;3.5,A!U19&gt;=2.5),"dobro",IF(AND(A!U19&lt;2.5,A!U19&gt;=2),"zadovoljavajuće",IF(OR(A!U19&lt;1,A!U19&gt;5),"")))))))</f>
        <v>primerno</v>
      </c>
      <c r="D19" s="423" t="str">
        <f>IF((A!U19=1),"( 1 )",IF(A!U19=CHAR(110),"neocenjen",IF(AND(A!U19&gt;=4.5,A!U19&lt;=5),"( 5 )",IF(AND(A!U19&lt;4.5,A!U19&gt;=3.5),"( 4 )",IF(AND(A!U19&lt;3.5,A!U19&gt;=2.5),"( 3 )",IF(AND(A!U19&lt;2.5,A!U19&gt;=2),"( 2 )",IF(OR(A!U19&lt;1,A!U19&gt;5),"")))))))</f>
        <v>( 5 )</v>
      </c>
      <c r="E19" s="195"/>
      <c r="F19" s="195"/>
      <c r="G19" s="200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0.5" customHeight="1">
      <c r="A20" s="195"/>
      <c r="B20" s="184"/>
      <c r="C20" s="422" t="str">
        <f>IF((A!U20=1),"nezadovoljavajuće",IF(A!U20=CHAR(110),"neocenjen",IF(AND(A!U20&gt;=4.5,A!U20&lt;=5),"primerno",IF(AND(A!U20&lt;4.5,A!U20&gt;=3.5),"vrlodobro",IF(AND(A!U20&lt;3.5,A!U20&gt;=2.5),"dobro",IF(AND(A!U20&lt;2.5,A!U20&gt;=2),"zadovoljavajuće",IF(OR(A!U20&lt;1,A!U20&gt;5),"")))))))</f>
        <v>primerno</v>
      </c>
      <c r="D20" s="423" t="str">
        <f>IF((A!U20=1),"( 1 )",IF(A!U20=CHAR(110),"neocenjen",IF(AND(A!U20&gt;=4.5,A!U20&lt;=5),"( 5 )",IF(AND(A!U20&lt;4.5,A!U20&gt;=3.5),"( 4 )",IF(AND(A!U20&lt;3.5,A!U20&gt;=2.5),"( 3 )",IF(AND(A!U20&lt;2.5,A!U20&gt;=2),"( 2 )",IF(OR(A!U20&lt;1,A!U20&gt;5),"")))))))</f>
        <v>( 5 )</v>
      </c>
      <c r="E20" s="201"/>
      <c r="F20" s="195"/>
      <c r="G20" s="200"/>
      <c r="H20" s="200"/>
      <c r="I20" s="200"/>
      <c r="J20" s="200"/>
      <c r="K20" s="359"/>
      <c r="L20" s="453"/>
      <c r="M20" s="195"/>
      <c r="N20" s="195"/>
      <c r="O20" s="195"/>
      <c r="P20" s="195"/>
      <c r="Q20" s="195"/>
    </row>
    <row r="21" spans="1:17" ht="10.5" customHeight="1">
      <c r="A21" s="195"/>
      <c r="B21" s="184"/>
      <c r="C21" s="422" t="str">
        <f>IF((A!U21=1),"nezadovoljavajuće",IF(A!U21=CHAR(110),"neocenjen",IF(AND(A!U21&gt;=4.5,A!U21&lt;=5),"primerno",IF(AND(A!U21&lt;4.5,A!U21&gt;=3.5),"vrlodobro",IF(AND(A!U21&lt;3.5,A!U21&gt;=2.5),"dobro",IF(AND(A!U21&lt;2.5,A!U21&gt;=2),"zadovoljavajuće",IF(OR(A!U21&lt;1,A!U21&gt;5),"")))))))</f>
        <v>vrlodobro</v>
      </c>
      <c r="D21" s="423" t="str">
        <f>IF((A!U21=1),"( 1 )",IF(A!U21=CHAR(110),"neocenjen",IF(AND(A!U21&gt;=4.5,A!U21&lt;=5),"( 5 )",IF(AND(A!U21&lt;4.5,A!U21&gt;=3.5),"( 4 )",IF(AND(A!U21&lt;3.5,A!U21&gt;=2.5),"( 3 )",IF(AND(A!U21&lt;2.5,A!U21&gt;=2),"( 2 )",IF(OR(A!U21&lt;1,A!U21&gt;5),"")))))))</f>
        <v>( 4 )</v>
      </c>
      <c r="E21" s="201"/>
      <c r="F21" s="195"/>
      <c r="G21" s="200"/>
      <c r="H21" s="200"/>
      <c r="I21" s="200"/>
      <c r="J21" s="200"/>
      <c r="K21" s="359"/>
      <c r="L21" s="453"/>
      <c r="M21" s="454"/>
      <c r="N21" s="195"/>
      <c r="O21" s="195"/>
      <c r="P21" s="195"/>
      <c r="Q21" s="195"/>
    </row>
    <row r="22" spans="1:17" ht="10.5" customHeight="1">
      <c r="A22" s="195"/>
      <c r="B22" s="184"/>
      <c r="C22" s="422" t="str">
        <f>IF((A!U22=1),"nezadovoljavajuće",IF(A!U22=CHAR(110),"neocenjen",IF(AND(A!U22&gt;=4.5,A!U22&lt;=5),"primerno",IF(AND(A!U22&lt;4.5,A!U22&gt;=3.5),"vrlodobro",IF(AND(A!U22&lt;3.5,A!U22&gt;=2.5),"dobro",IF(AND(A!U22&lt;2.5,A!U22&gt;=2),"zadovoljavajuće",IF(OR(A!U22&lt;1,A!U22&gt;5),"")))))))</f>
        <v>primerno</v>
      </c>
      <c r="D22" s="423" t="str">
        <f>IF((A!U22=1),"( 1 )",IF(A!U22=CHAR(110),"neocenjen",IF(AND(A!U22&gt;=4.5,A!U22&lt;=5),"( 5 )",IF(AND(A!U22&lt;4.5,A!U22&gt;=3.5),"( 4 )",IF(AND(A!U22&lt;3.5,A!U22&gt;=2.5),"( 3 )",IF(AND(A!U22&lt;2.5,A!U22&gt;=2),"( 2 )",IF(OR(A!U22&lt;1,A!U22&gt;5),"")))))))</f>
        <v>( 5 )</v>
      </c>
      <c r="E22" s="201"/>
      <c r="F22" s="195"/>
      <c r="G22" s="200"/>
      <c r="H22" s="200"/>
      <c r="I22" s="200"/>
      <c r="J22" s="200"/>
      <c r="K22" s="359"/>
      <c r="L22" s="453"/>
      <c r="M22" s="195"/>
      <c r="N22" s="195"/>
      <c r="O22" s="195"/>
      <c r="P22" s="195"/>
      <c r="Q22" s="195"/>
    </row>
    <row r="23" spans="1:17" ht="10.5" customHeight="1">
      <c r="A23" s="195"/>
      <c r="B23" s="184"/>
      <c r="C23" s="422" t="str">
        <f>IF((A!U23=1),"nezadovoljavajuće",IF(A!U23=CHAR(110),"neocenjen",IF(AND(A!U23&gt;=4.5,A!U23&lt;=5),"primerno",IF(AND(A!U23&lt;4.5,A!U23&gt;=3.5),"vrlodobro",IF(AND(A!U23&lt;3.5,A!U23&gt;=2.5),"dobro",IF(AND(A!U23&lt;2.5,A!U23&gt;=2),"zadovoljavajuće",IF(OR(A!U23&lt;1,A!U23&gt;5),"")))))))</f>
        <v>primerno</v>
      </c>
      <c r="D23" s="423" t="str">
        <f>IF((A!U23=1),"( 1 )",IF(A!U23=CHAR(110),"neocenjen",IF(AND(A!U23&gt;=4.5,A!U23&lt;=5),"( 5 )",IF(AND(A!U23&lt;4.5,A!U23&gt;=3.5),"( 4 )",IF(AND(A!U23&lt;3.5,A!U23&gt;=2.5),"( 3 )",IF(AND(A!U23&lt;2.5,A!U23&gt;=2),"( 2 )",IF(OR(A!U23&lt;1,A!U23&gt;5),"")))))))</f>
        <v>( 5 )</v>
      </c>
      <c r="E23" s="201"/>
      <c r="F23" s="195"/>
      <c r="G23" s="200"/>
      <c r="H23" s="200"/>
      <c r="I23" s="200"/>
      <c r="J23" s="200"/>
      <c r="K23" s="359"/>
      <c r="L23" s="453"/>
      <c r="M23" s="195"/>
      <c r="N23" s="195"/>
      <c r="O23" s="195"/>
      <c r="P23" s="195"/>
      <c r="Q23" s="195"/>
    </row>
    <row r="24" spans="1:17" ht="10.5" customHeight="1">
      <c r="A24" s="195"/>
      <c r="B24" s="184"/>
      <c r="C24" s="422" t="str">
        <f>IF((A!U24=1),"nezadovoljavajuće",IF(A!U24=CHAR(110),"neocenjen",IF(AND(A!U24&gt;=4.5,A!U24&lt;=5),"primerno",IF(AND(A!U24&lt;4.5,A!U24&gt;=3.5),"vrlodobro",IF(AND(A!U24&lt;3.5,A!U24&gt;=2.5),"dobro",IF(AND(A!U24&lt;2.5,A!U24&gt;=2),"zadovoljavajuće",IF(OR(A!U24&lt;1,A!U24&gt;5),"")))))))</f>
        <v>primerno</v>
      </c>
      <c r="D24" s="423" t="str">
        <f>IF((A!U24=1),"( 1 )",IF(A!U24=CHAR(110),"neocenjen",IF(AND(A!U24&gt;=4.5,A!U24&lt;=5),"( 5 )",IF(AND(A!U24&lt;4.5,A!U24&gt;=3.5),"( 4 )",IF(AND(A!U24&lt;3.5,A!U24&gt;=2.5),"( 3 )",IF(AND(A!U24&lt;2.5,A!U24&gt;=2),"( 2 )",IF(OR(A!U24&lt;1,A!U24&gt;5),"")))))))</f>
        <v>( 5 )</v>
      </c>
      <c r="E24" s="201"/>
      <c r="F24" s="346"/>
      <c r="G24" s="200"/>
      <c r="H24" s="200"/>
      <c r="I24" s="200"/>
      <c r="J24" s="200"/>
      <c r="K24" s="359"/>
      <c r="L24" s="453"/>
      <c r="M24" s="195"/>
      <c r="N24" s="195"/>
      <c r="O24" s="195"/>
      <c r="P24" s="195"/>
      <c r="Q24" s="195"/>
    </row>
    <row r="25" spans="1:6" ht="10.5" customHeight="1">
      <c r="A25" s="195"/>
      <c r="B25" s="195"/>
      <c r="C25" s="422">
        <f>IF((A!U25=1),"nezadovoljavajuće",IF(A!U25=CHAR(110),"neocenjen",IF(AND(A!U25&gt;=4.5,A!U25&lt;=5),"primerno",IF(AND(A!U25&lt;4.5,A!U25&gt;=3.5),"vrlodobro",IF(AND(A!U25&lt;3.5,A!U25&gt;=2.5),"dobro",IF(AND(A!U25&lt;2.5,A!U25&gt;=2),"zadovoljavajuće",IF(OR(A!U25&lt;1,A!U25&gt;5),"")))))))</f>
      </c>
      <c r="D25" s="423">
        <f>IF((A!U25=1),"( 1 )",IF(A!U25=CHAR(110),"neocenjen",IF(AND(A!U25&gt;=4.5,A!U25&lt;=5),"( 5 )",IF(AND(A!U25&lt;4.5,A!U25&gt;=3.5),"( 4 )",IF(AND(A!U25&lt;3.5,A!U25&gt;=2.5),"( 3 )",IF(AND(A!U25&lt;2.5,A!U25&gt;=2),"( 2 )",IF(OR(A!U25&lt;1,A!U25&gt;5),"")))))))</f>
      </c>
      <c r="E25" s="195"/>
      <c r="F25" s="195"/>
    </row>
    <row r="26" spans="1:6" ht="10.5" customHeight="1">
      <c r="A26" s="195"/>
      <c r="B26" s="195"/>
      <c r="C26" s="422">
        <f>IF((A!U26=1),"nezadovoljavajuće",IF(A!U26=CHAR(110),"neocenjen",IF(AND(A!U26&gt;=4.5,A!U26&lt;=5),"primerno",IF(AND(A!U26&lt;4.5,A!U26&gt;=3.5),"vrlodobro",IF(AND(A!U26&lt;3.5,A!U26&gt;=2.5),"dobro",IF(AND(A!U26&lt;2.5,A!U26&gt;=2),"zadovoljavajuće",IF(OR(A!U26&lt;1,A!U26&gt;5),"")))))))</f>
      </c>
      <c r="D26" s="423">
        <f>IF((A!U26=1),"( 1 )",IF(A!U26=CHAR(110),"neocenjen",IF(AND(A!U26&gt;=4.5,A!U26&lt;=5),"( 5 )",IF(AND(A!U26&lt;4.5,A!U26&gt;=3.5),"( 4 )",IF(AND(A!U26&lt;3.5,A!U26&gt;=2.5),"( 3 )",IF(AND(A!U26&lt;2.5,A!U26&gt;=2),"( 2 )",IF(OR(A!U26&lt;1,A!U26&gt;5),"")))))))</f>
      </c>
      <c r="E26" s="195"/>
      <c r="F26" s="195"/>
    </row>
    <row r="27" spans="1:17" ht="10.5" customHeight="1">
      <c r="A27" s="195"/>
      <c r="B27" s="184"/>
      <c r="C27" s="422">
        <f>IF((A!U27=1),"nezadovoljavajuće",IF(A!U27=CHAR(110),"neocenjen",IF(AND(A!U27&gt;=4.5,A!U27&lt;=5),"primerno",IF(AND(A!U27&lt;4.5,A!U27&gt;=3.5),"vrlodobro",IF(AND(A!U27&lt;3.5,A!U27&gt;=2.5),"dobro",IF(AND(A!U27&lt;2.5,A!U27&gt;=2),"zadovoljavajuće",IF(OR(A!U27&lt;1,A!U27&gt;5),"")))))))</f>
      </c>
      <c r="D27" s="423">
        <f>IF((A!U27=1),"( 1 )",IF(A!U27=CHAR(110),"neocenjen",IF(AND(A!U27&gt;=4.5,A!U27&lt;=5),"( 5 )",IF(AND(A!U27&lt;4.5,A!U27&gt;=3.5),"( 4 )",IF(AND(A!U27&lt;3.5,A!U27&gt;=2.5),"( 3 )",IF(AND(A!U27&lt;2.5,A!U27&gt;=2),"( 2 )",IF(OR(A!U27&lt;1,A!U27&gt;5),"")))))))</f>
      </c>
      <c r="E27" s="184"/>
      <c r="F27" s="184"/>
      <c r="P27" s="2" t="s">
        <v>288</v>
      </c>
      <c r="Q27" s="321"/>
    </row>
    <row r="28" spans="1:17" ht="10.5" customHeight="1">
      <c r="A28" s="195"/>
      <c r="B28" s="184"/>
      <c r="C28" s="422">
        <f>IF((A!U28=1),"nezadovoljavajuće",IF(A!U28=CHAR(110),"neocenjen",IF(AND(A!U28&gt;=4.5,A!U28&lt;=5),"primerno",IF(AND(A!U28&lt;4.5,A!U28&gt;=3.5),"vrlodobro",IF(AND(A!U28&lt;3.5,A!U28&gt;=2.5),"dobro",IF(AND(A!U28&lt;2.5,A!U28&gt;=2),"zadovoljavajuće",IF(OR(A!U28&lt;1,A!U28&gt;5),"")))))))</f>
      </c>
      <c r="D28" s="423">
        <f>IF((A!U28=1),"( 1 )",IF(A!U28=CHAR(110),"neocenjen",IF(AND(A!U28&gt;=4.5,A!U28&lt;=5),"( 5 )",IF(AND(A!U28&lt;4.5,A!U28&gt;=3.5),"( 4 )",IF(AND(A!U28&lt;3.5,A!U28&gt;=2.5),"( 3 )",IF(AND(A!U28&lt;2.5,A!U28&gt;=2),"( 2 )",IF(OR(A!U28&lt;1,A!U28&gt;5),"")))))))</f>
      </c>
      <c r="E28" s="184"/>
      <c r="F28" s="184"/>
      <c r="P28" s="359">
        <f>IF(Statistika!Q4="Nema","Nema",Statistika!Q4*10000/(SUM(Statistika!Q4:Statistika!Q8)*10000+0.5))</f>
        <v>0.5156793526691024</v>
      </c>
      <c r="Q28" s="359"/>
    </row>
    <row r="29" spans="1:17" ht="10.5" customHeight="1">
      <c r="A29" s="195"/>
      <c r="B29" s="184"/>
      <c r="C29" s="422">
        <f>IF((A!U29=1),"nezadovoljavajuće",IF(A!U29=CHAR(110),"neocenjen",IF(AND(A!U29&gt;=4.5,A!U29&lt;=5),"primerno",IF(AND(A!U29&lt;4.5,A!U29&gt;=3.5),"vrlodobro",IF(AND(A!U29&lt;3.5,A!U29&gt;=2.5),"dobro",IF(AND(A!U29&lt;2.5,A!U29&gt;=2),"zadovoljavajuće",IF(OR(A!U29&lt;1,A!U29&gt;5),"")))))))</f>
      </c>
      <c r="D29" s="423">
        <f>IF((A!U29=1),"( 1 )",IF(A!U29=CHAR(110),"neocenjen",IF(AND(A!U29&gt;=4.5,A!U29&lt;=5),"( 5 )",IF(AND(A!U29&lt;4.5,A!U29&gt;=3.5),"( 4 )",IF(AND(A!U29&lt;3.5,A!U29&gt;=2.5),"( 3 )",IF(AND(A!U29&lt;2.5,A!U29&gt;=2),"( 2 )",IF(OR(A!U29&lt;1,A!U29&gt;5),"")))))))</f>
      </c>
      <c r="E29" s="184"/>
      <c r="F29" s="184"/>
      <c r="P29" s="359">
        <f>IF(Statistika!Q5="Nema","Nema",Statistika!Q5*10000/(SUM(Statistika!Q4:Statistika!Q8)*10000+0.5))</f>
        <v>0.15331007782054393</v>
      </c>
      <c r="Q29" s="359"/>
    </row>
    <row r="30" spans="1:17" ht="10.5" customHeight="1">
      <c r="A30" s="195"/>
      <c r="B30" s="184"/>
      <c r="C30" s="422">
        <f>IF((A!U30=1),"nezadovoljavajuće",IF(A!U30=CHAR(110),"neocenjen",IF(AND(A!U30&gt;=4.5,A!U30&lt;=5),"primerno",IF(AND(A!U30&lt;4.5,A!U30&gt;=3.5),"vrlodobro",IF(AND(A!U30&lt;3.5,A!U30&gt;=2.5),"dobro",IF(AND(A!U30&lt;2.5,A!U30&gt;=2),"zadovoljavajuće",IF(OR(A!U30&lt;1,A!U30&gt;5),"")))))))</f>
      </c>
      <c r="D30" s="423">
        <f>IF((A!U30=1),"( 1 )",IF(A!U30=CHAR(110),"neocenjen",IF(AND(A!U30&gt;=4.5,A!U30&lt;=5),"( 5 )",IF(AND(A!U30&lt;4.5,A!U30&gt;=3.5),"( 4 )",IF(AND(A!U30&lt;3.5,A!U30&gt;=2.5),"( 3 )",IF(AND(A!U30&lt;2.5,A!U30&gt;=2),"( 2 )",IF(OR(A!U30&lt;1,A!U30&gt;5),"")))))))</f>
      </c>
      <c r="E30" s="184"/>
      <c r="F30" s="184"/>
      <c r="P30" s="359">
        <f>IF(Statistika!Q6="Nema","Nema",Statistika!Q6*10000/(SUM(Statistika!Q4:Statistika!Q8)*10000+0.5))</f>
        <v>0.14634143791961013</v>
      </c>
      <c r="Q30" s="359"/>
    </row>
    <row r="31" spans="1:17" ht="10.5" customHeight="1">
      <c r="A31" s="195"/>
      <c r="B31" s="184"/>
      <c r="C31" s="422">
        <f>IF((A!U31=1),"nezadovoljavajuće",IF(A!U31=CHAR(110),"neocenjen",IF(AND(A!U31&gt;=4.5,A!U31&lt;=5),"primerno",IF(AND(A!U31&lt;4.5,A!U31&gt;=3.5),"vrlodobro",IF(AND(A!U31&lt;3.5,A!U31&gt;=2.5),"dobro",IF(AND(A!U31&lt;2.5,A!U31&gt;=2),"zadovoljavajuće",IF(OR(A!U31&lt;1,A!U31&gt;5),"")))))))</f>
      </c>
      <c r="D31" s="423">
        <f>IF((A!U31=1),"( 1 )",IF(A!U31=CHAR(110),"neocenjen",IF(AND(A!U31&gt;=4.5,A!U31&lt;=5),"( 5 )",IF(AND(A!U31&lt;4.5,A!U31&gt;=3.5),"( 4 )",IF(AND(A!U31&lt;3.5,A!U31&gt;=2.5),"( 3 )",IF(AND(A!U31&lt;2.5,A!U31&gt;=2),"( 2 )",IF(OR(A!U31&lt;1,A!U31&gt;5),"")))))))</f>
      </c>
      <c r="E31" s="184"/>
      <c r="F31" s="184"/>
      <c r="P31" s="359">
        <f>IF(Statistika!Q7="Nema","Nema",Statistika!Q7*10000/(SUM(Statistika!Q4:Statistika!Q8)*10000+0.5))</f>
        <v>0.12195119826634176</v>
      </c>
      <c r="Q31" s="359"/>
    </row>
    <row r="32" spans="1:17" ht="10.5" customHeight="1">
      <c r="A32" s="195"/>
      <c r="B32" s="184"/>
      <c r="C32" s="422">
        <f>IF((A!U32=1),"nezadovoljavajuće",IF(A!U32=CHAR(110),"neocenjen",IF(AND(A!U32&gt;=4.5,A!U32&lt;=5),"primerno",IF(AND(A!U32&lt;4.5,A!U32&gt;=3.5),"vrlodobro",IF(AND(A!U32&lt;3.5,A!U32&gt;=2.5),"dobro",IF(AND(A!U32&lt;2.5,A!U32&gt;=2),"zadovoljavajuće",IF(OR(A!U32&lt;1,A!U32&gt;5),"")))))))</f>
      </c>
      <c r="D32" s="423">
        <f>IF((A!U32=1),"( 1 )",IF(A!U32=CHAR(110),"neocenjen",IF(AND(A!U32&gt;=4.5,A!U32&lt;=5),"( 5 )",IF(AND(A!U32&lt;4.5,A!U32&gt;=3.5),"( 4 )",IF(AND(A!U32&lt;3.5,A!U32&gt;=2.5),"( 3 )",IF(AND(A!U32&lt;2.5,A!U32&gt;=2),"( 2 )",IF(OR(A!U32&lt;1,A!U32&gt;5),"")))))))</f>
      </c>
      <c r="E32" s="184"/>
      <c r="F32" s="184"/>
      <c r="P32" s="359">
        <f>IF(Statistika!Q8="Nema","Nema",Statistika!Q8*10000/(SUM(Statistika!Q4:Statistika!Q8)*10000+0.5))</f>
        <v>0.06271775910840434</v>
      </c>
      <c r="Q32" s="359"/>
    </row>
    <row r="33" spans="1:17" ht="10.5" customHeight="1">
      <c r="A33" s="195"/>
      <c r="B33" s="184"/>
      <c r="C33" s="422">
        <f>IF((A!U33=1),"nezadovoljavajuće",IF(A!U33=CHAR(110),"neocenjen",IF(AND(A!U33&gt;=4.5,A!U33&lt;=5),"primerno",IF(AND(A!U33&lt;4.5,A!U33&gt;=3.5),"vrlodobro",IF(AND(A!U33&lt;3.5,A!U33&gt;=2.5),"dobro",IF(AND(A!U33&lt;2.5,A!U33&gt;=2),"zadovoljavajuće",IF(OR(A!U33&lt;1,A!U33&gt;5),"")))))))</f>
      </c>
      <c r="D33" s="423">
        <f>IF((A!U33=1),"( 1 )",IF(A!U33=CHAR(110),"neocenjen",IF(AND(A!U33&gt;=4.5,A!U33&lt;=5),"( 5 )",IF(AND(A!U33&lt;4.5,A!U33&gt;=3.5),"( 4 )",IF(AND(A!U33&lt;3.5,A!U33&gt;=2.5),"( 3 )",IF(AND(A!U33&lt;2.5,A!U33&gt;=2),"( 2 )",IF(OR(A!U33&lt;1,A!U33&gt;5),"")))))))</f>
      </c>
      <c r="E33" s="184"/>
      <c r="F33" s="184"/>
      <c r="P33" s="359"/>
      <c r="Q33" s="453"/>
    </row>
    <row r="34" spans="1:6" ht="10.5" customHeight="1">
      <c r="A34" s="195"/>
      <c r="B34" s="184"/>
      <c r="C34" s="422">
        <f>IF((A!U34=1),"nezadovoljavajuće",IF(A!U34=CHAR(110),"neocenjen",IF(AND(A!U34&gt;=4.5,A!U34&lt;=5),"primerno",IF(AND(A!U34&lt;4.5,A!U34&gt;=3.5),"vrlodobro",IF(AND(A!U34&lt;3.5,A!U34&gt;=2.5),"dobro",IF(AND(A!U34&lt;2.5,A!U34&gt;=2),"zadovoljavajuće",IF(OR(A!U34&lt;1,A!U34&gt;5),"")))))))</f>
      </c>
      <c r="D34" s="423">
        <f>IF((A!U34=1),"( 1 )",IF(A!U34=CHAR(110),"neocenjen",IF(AND(A!U34&gt;=4.5,A!U34&lt;=5),"( 5 )",IF(AND(A!U34&lt;4.5,A!U34&gt;=3.5),"( 4 )",IF(AND(A!U34&lt;3.5,A!U34&gt;=2.5),"( 3 )",IF(AND(A!U34&lt;2.5,A!U34&gt;=2),"( 2 )",IF(OR(A!U34&lt;1,A!U34&gt;5),"")))))))</f>
      </c>
      <c r="E34" s="184"/>
      <c r="F34" s="184"/>
    </row>
    <row r="35" spans="1:6" ht="10.5" customHeight="1">
      <c r="A35" s="195"/>
      <c r="B35" s="184"/>
      <c r="C35" s="422">
        <f>IF((A!U35=1),"nezadovoljavajuće",IF(A!U35=CHAR(110),"neocenjen",IF(AND(A!U35&gt;=4.5,A!U35&lt;=5),"primerno",IF(AND(A!U35&lt;4.5,A!U35&gt;=3.5),"vrlodobro",IF(AND(A!U35&lt;3.5,A!U35&gt;=2.5),"dobro",IF(AND(A!U35&lt;2.5,A!U35&gt;=2),"zadovoljavajuće",IF(OR(A!U35&lt;1,A!U35&gt;5),"")))))))</f>
      </c>
      <c r="D35" s="423">
        <f>IF((A!U35=1),"( 1 )",IF(A!U35=CHAR(110),"neocenjen",IF(AND(A!U35&gt;=4.5,A!U35&lt;=5),"( 5 )",IF(AND(A!U35&lt;4.5,A!U35&gt;=3.5),"( 4 )",IF(AND(A!U35&lt;3.5,A!U35&gt;=2.5),"( 3 )",IF(AND(A!U35&lt;2.5,A!U35&gt;=2),"( 2 )",IF(OR(A!U35&lt;1,A!U35&gt;5),"")))))))</f>
      </c>
      <c r="E35" s="184"/>
      <c r="F35" s="184"/>
    </row>
    <row r="36" spans="1:6" ht="10.5" customHeight="1">
      <c r="A36" s="195"/>
      <c r="B36" s="184"/>
      <c r="C36" s="422">
        <f>IF((A!U36=1),"nezadovoljavajuće",IF(A!U36=CHAR(110),"neocenjen",IF(AND(A!U36&gt;=4.5,A!U36&lt;=5),"primerno",IF(AND(A!U36&lt;4.5,A!U36&gt;=3.5),"vrlodobro",IF(AND(A!U36&lt;3.5,A!U36&gt;=2.5),"dobro",IF(AND(A!U36&lt;2.5,A!U36&gt;=2),"zadovoljavajuće",IF(OR(A!U36&lt;1,A!U36&gt;5),"")))))))</f>
      </c>
      <c r="D36" s="423">
        <f>IF((A!U36=1),"( 1 )",IF(A!U36=CHAR(110),"neocenjen",IF(AND(A!U36&gt;=4.5,A!U36&lt;=5),"( 5 )",IF(AND(A!U36&lt;4.5,A!U36&gt;=3.5),"( 4 )",IF(AND(A!U36&lt;3.5,A!U36&gt;=2.5),"( 3 )",IF(AND(A!U36&lt;2.5,A!U36&gt;=2),"( 2 )",IF(OR(A!U36&lt;1,A!U36&gt;5),"")))))))</f>
      </c>
      <c r="E36" s="184"/>
      <c r="F36" s="184"/>
    </row>
    <row r="37" spans="1:6" ht="10.5" customHeight="1">
      <c r="A37" s="195"/>
      <c r="B37" s="184"/>
      <c r="C37" s="422">
        <f>IF((A!U37=1),"nezadovoljavajuće",IF(A!U37=CHAR(110),"neocenjen",IF(AND(A!U37&gt;=4.5,A!U37&lt;=5),"primerno",IF(AND(A!U37&lt;4.5,A!U37&gt;=3.5),"vrlodobro",IF(AND(A!U37&lt;3.5,A!U37&gt;=2.5),"dobro",IF(AND(A!U37&lt;2.5,A!U37&gt;=2),"zadovoljavajuće",IF(OR(A!U37&lt;1,A!U37&gt;5),"")))))))</f>
      </c>
      <c r="D37" s="423">
        <f>IF((A!U37=1),"( 1 )",IF(A!U37=CHAR(110),"neocenjen",IF(AND(A!U37&gt;=4.5,A!U37&lt;=5),"( 5 )",IF(AND(A!U37&lt;4.5,A!U37&gt;=3.5),"( 4 )",IF(AND(A!U37&lt;3.5,A!U37&gt;=2.5),"( 3 )",IF(AND(A!U37&lt;2.5,A!U37&gt;=2),"( 2 )",IF(OR(A!U37&lt;1,A!U37&gt;5),"")))))))</f>
      </c>
      <c r="E37" s="184"/>
      <c r="F37" s="184"/>
    </row>
    <row r="38" spans="3:4" ht="10.5" customHeight="1">
      <c r="C38" s="422">
        <f>IF((A!U38=1),"nezadovoljavajuće",IF(A!U38=CHAR(110),"neocenjen",IF(AND(A!U38&gt;=4.5,A!U38&lt;=5),"primerno",IF(AND(A!U38&lt;4.5,A!U38&gt;=3.5),"vrlodobro",IF(AND(A!U38&lt;3.5,A!U38&gt;=2.5),"dobro",IF(AND(A!U38&lt;2.5,A!U38&gt;=2),"zadovoljavajuće",IF(OR(A!U38&lt;1,A!U38&gt;5),"")))))))</f>
      </c>
      <c r="D38" s="423">
        <f>IF((A!U38=1),"( 1 )",IF(A!U38=CHAR(110),"neocenjen",IF(AND(A!U38&gt;=4.5,A!U38&lt;=5),"( 5 )",IF(AND(A!U38&lt;4.5,A!U38&gt;=3.5),"( 4 )",IF(AND(A!U38&lt;3.5,A!U38&gt;=2.5),"( 3 )",IF(AND(A!U38&lt;2.5,A!U38&gt;=2),"( 2 )",IF(OR(A!U38&lt;1,A!U38&gt;5),"")))))))</f>
      </c>
    </row>
    <row r="39" spans="3:4" ht="10.5" customHeight="1">
      <c r="C39" s="422">
        <f>IF((A!U39=1),"nezadovoljavajuće",IF(A!U39=CHAR(110),"neocenjen",IF(AND(A!U39&gt;=4.5,A!U39&lt;=5),"primerno",IF(AND(A!U39&lt;4.5,A!U39&gt;=3.5),"vrlodobro",IF(AND(A!U39&lt;3.5,A!U39&gt;=2.5),"dobro",IF(AND(A!U39&lt;2.5,A!U39&gt;=2),"zadovoljavajuće",IF(OR(A!U39&lt;1,A!U39&gt;5),"")))))))</f>
      </c>
      <c r="D39" s="423">
        <f>IF((A!U39=1),"( 1 )",IF(A!U39=CHAR(110),"neocenjen",IF(AND(A!U39&gt;=4.5,A!U39&lt;=5),"( 5 )",IF(AND(A!U39&lt;4.5,A!U39&gt;=3.5),"( 4 )",IF(AND(A!U39&lt;3.5,A!U39&gt;=2.5),"( 3 )",IF(AND(A!U39&lt;2.5,A!U39&gt;=2),"( 2 )",IF(OR(A!U39&lt;1,A!U39&gt;5),"")))))))</f>
      </c>
    </row>
    <row r="40" spans="3:4" ht="10.5" customHeight="1">
      <c r="C40" s="422">
        <f>IF((A!U40=1),"nezadovoljavajuće",IF(A!U40=CHAR(110),"neocenjen",IF(AND(A!U40&gt;=4.5,A!U40&lt;=5),"primerno",IF(AND(A!U40&lt;4.5,A!U40&gt;=3.5),"vrlodobro",IF(AND(A!U40&lt;3.5,A!U40&gt;=2.5),"dobro",IF(AND(A!U40&lt;2.5,A!U40&gt;=2),"zadovoljavajuće",IF(OR(A!U40&lt;1,A!U40&gt;5),"")))))))</f>
      </c>
      <c r="D40" s="423">
        <f>IF((A!U40=1),"( 1 )",IF(A!U40=CHAR(110),"neocenjen",IF(AND(A!U40&gt;=4.5,A!U40&lt;=5),"( 5 )",IF(AND(A!U40&lt;4.5,A!U40&gt;=3.5),"( 4 )",IF(AND(A!U40&lt;3.5,A!U40&gt;=2.5),"( 3 )",IF(AND(A!U40&lt;2.5,A!U40&gt;=2),"( 2 )",IF(OR(A!U40&lt;1,A!U40&gt;5),"")))))))</f>
      </c>
    </row>
    <row r="41" spans="3:4" ht="10.5" customHeight="1">
      <c r="C41" s="422">
        <f>IF((A!U41=1),"nezadovoljavajuće",IF(A!U41=CHAR(110),"neocenjen",IF(AND(A!U41&gt;=4.5,A!U41&lt;=5),"primerno",IF(AND(A!U41&lt;4.5,A!U41&gt;=3.5),"vrlodobro",IF(AND(A!U41&lt;3.5,A!U41&gt;=2.5),"dobro",IF(AND(A!U41&lt;2.5,A!U41&gt;=2),"zadovoljavajuće",IF(OR(A!U41&lt;1,A!U41&gt;5),"")))))))</f>
      </c>
      <c r="D41" s="423">
        <f>IF((A!U41=1),"( 1 )",IF(A!U41=CHAR(110),"neocenjen",IF(AND(A!U41&gt;=4.5,A!U41&lt;=5),"( 5 )",IF(AND(A!U41&lt;4.5,A!U41&gt;=3.5),"( 4 )",IF(AND(A!U41&lt;3.5,A!U41&gt;=2.5),"( 3 )",IF(AND(A!U41&lt;2.5,A!U41&gt;=2),"( 2 )",IF(OR(A!U41&lt;1,A!U41&gt;5),"")))))))</f>
      </c>
    </row>
    <row r="42" spans="3:4" ht="10.5" customHeight="1">
      <c r="C42" s="422">
        <f>IF((A!U42=1),"nezadovoljavajuće",IF(A!U42=CHAR(110),"neocenjen",IF(AND(A!U42&gt;=4.5,A!U42&lt;=5),"primerno",IF(AND(A!U42&lt;4.5,A!U42&gt;=3.5),"vrlodobro",IF(AND(A!U42&lt;3.5,A!U42&gt;=2.5),"dobro",IF(AND(A!U42&lt;2.5,A!U42&gt;=2),"zadovoljavajuće",IF(OR(A!U42&lt;1,A!U42&gt;5),"")))))))</f>
      </c>
      <c r="D42" s="423">
        <f>IF((A!U42=1),"( 1 )",IF(A!U42=CHAR(110),"neocenjen",IF(AND(A!U42&gt;=4.5,A!U42&lt;=5),"( 5 )",IF(AND(A!U42&lt;4.5,A!U42&gt;=3.5),"( 4 )",IF(AND(A!U42&lt;3.5,A!U42&gt;=2.5),"( 3 )",IF(AND(A!U42&lt;2.5,A!U42&gt;=2),"( 2 )",IF(OR(A!U42&lt;1,A!U42&gt;5),"")))))))</f>
      </c>
    </row>
    <row r="43" ht="10.5" customHeight="1"/>
  </sheetData>
  <mergeCells count="12">
    <mergeCell ref="P3:Q3"/>
    <mergeCell ref="K4:L4"/>
    <mergeCell ref="K5:L5"/>
    <mergeCell ref="K6:L6"/>
    <mergeCell ref="K7:L7"/>
    <mergeCell ref="K8:L8"/>
    <mergeCell ref="P9:Q9"/>
    <mergeCell ref="P28:Q28"/>
    <mergeCell ref="P29:Q29"/>
    <mergeCell ref="P30:Q30"/>
    <mergeCell ref="P31:Q31"/>
    <mergeCell ref="P32:Q32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workbookViewId="0" topLeftCell="A1">
      <selection activeCell="G30" sqref="A1:IV65536"/>
    </sheetView>
  </sheetViews>
  <sheetFormatPr defaultColWidth="9.140625" defaultRowHeight="12.75"/>
  <cols>
    <col min="1" max="1" width="3.7109375" style="2" customWidth="1"/>
    <col min="2" max="2" width="23.7109375" style="2" customWidth="1"/>
    <col min="3" max="3" width="12.7109375" style="2" customWidth="1"/>
    <col min="4" max="4" width="9.00390625" style="2" customWidth="1"/>
    <col min="5" max="5" width="7.7109375" style="2" customWidth="1"/>
    <col min="6" max="6" width="3.7109375" style="2" customWidth="1"/>
    <col min="7" max="7" width="17.7109375" style="2" customWidth="1"/>
    <col min="8" max="8" width="5.7109375" style="207" customWidth="1"/>
    <col min="9" max="9" width="3.7109375" style="2" customWidth="1"/>
    <col min="10" max="10" width="18.7109375" style="2" customWidth="1"/>
    <col min="11" max="11" width="3.7109375" style="2" customWidth="1"/>
    <col min="12" max="12" width="12.7109375" style="2" customWidth="1"/>
    <col min="13" max="14" width="3.7109375" style="2" customWidth="1"/>
    <col min="15" max="16" width="9.00390625" style="2" customWidth="1"/>
    <col min="17" max="17" width="3.7109375" style="2" customWidth="1"/>
    <col min="18" max="16384" width="9.00390625" style="2" customWidth="1"/>
  </cols>
  <sheetData>
    <row r="1" spans="1:13" ht="12" customHeight="1">
      <c r="A1" s="455" t="s">
        <v>0</v>
      </c>
      <c r="B1" s="456" t="s">
        <v>147</v>
      </c>
      <c r="C1" s="457" t="s">
        <v>148</v>
      </c>
      <c r="D1" s="458" t="s">
        <v>80</v>
      </c>
      <c r="E1" s="459" t="s">
        <v>149</v>
      </c>
      <c r="F1" s="460"/>
      <c r="G1" s="459" t="s">
        <v>150</v>
      </c>
      <c r="H1" s="461"/>
      <c r="I1" s="462"/>
      <c r="J1" s="457" t="s">
        <v>289</v>
      </c>
      <c r="K1" s="459"/>
      <c r="L1" s="458" t="s">
        <v>152</v>
      </c>
      <c r="M1" s="463"/>
    </row>
    <row r="2" spans="1:13" ht="11.25" customHeight="1">
      <c r="A2" s="464">
        <v>1</v>
      </c>
      <c r="B2" s="465" t="str">
        <f>IF(A!B3=0," ",A!B3)</f>
        <v>Andjelković Jelena</v>
      </c>
      <c r="C2" s="466" t="str">
        <f>IF(B!D3=0," ",B!D3)</f>
        <v>odlican</v>
      </c>
      <c r="D2" s="467">
        <f>IF(B2=" "," ",IF((B!F3&gt;0),0,IF(COUNT(A!C3:A!P3)&lt;1,0,AVERAGE(A!C3:A!N3,A!P3))))</f>
        <v>5</v>
      </c>
      <c r="E2" s="468">
        <f>IF(SUM(IF(A!C3=1,1)+IF(A!D3=1,1)+IF(A!E3=1,1)+IF(A!F3=1,1)+IF(A!G3=1,1)+IF(A!H3=1,1)+IF(A!I3=1,1)+IF(A!J3=1,1)+IF(A!K3=1,1)+IF(A!L3=1,1)+IF(A!M3=1,1)+IF(A!N3=1,1)+IF(A!P3=1,1))=0,"",SUM(IF(A!B3=1,1)+IF(A!C3=1,1)+IF(A!D3=1,1)+IF(A!E3=1,1)+IF(A!F3=1,1)+IF(A!G3=1,1)+IF(A!H3=1,1)+IF(A!I3=1,1)+IF(A!J3=1,1)+IF(A!K3=1,1)+IF(A!L3=1,1)+IF(A!M3=1,1)+IF(A!N3=1,1)+IF(A!P3=1,1)))</f>
      </c>
      <c r="F2" s="469"/>
      <c r="G2" s="470" t="str">
        <f>E!C3</f>
        <v>primerno</v>
      </c>
      <c r="H2" s="471" t="str">
        <f>E!D3</f>
        <v>( 5 )</v>
      </c>
      <c r="I2" s="472"/>
      <c r="J2" s="473" t="str">
        <f>IF(Upis!U3=0," ",IF(A!U3=5," ",IF(A!U3=4,"Odeljenskog star.",IF(A!U3=3,"Odeljenskog veća",IF(A!U3=2,"Direktora škole",IF(A!U3=1,"Nastavničkog veća"))))))</f>
        <v> </v>
      </c>
      <c r="K2" s="474"/>
      <c r="L2" s="475">
        <f>IF(COUNT(A!C3:A!P3)&lt;1,0,AVERAGE(A!C3:A!P3))</f>
        <v>5</v>
      </c>
      <c r="M2" s="476"/>
    </row>
    <row r="3" spans="1:13" ht="11.25" customHeight="1">
      <c r="A3" s="464">
        <v>2</v>
      </c>
      <c r="B3" s="465" t="str">
        <f>IF(A!B4=0," ",A!B4)</f>
        <v>Blagojević Nenad</v>
      </c>
      <c r="C3" s="477" t="str">
        <f>IF(B!D4=0," ",B!D4)</f>
        <v>nedovoljan</v>
      </c>
      <c r="D3" s="467">
        <f>IF(B3=" "," ",IF((B!F4&gt;0),0,IF(COUNT(A!C4:A!P4)&lt;1,0,AVERAGE(A!C4:A!N4,A!P4))))</f>
        <v>0</v>
      </c>
      <c r="E3" s="478">
        <f>IF(SUM(IF(A!C4=1,1)+IF(A!D4=1,1)+IF(A!E4=1,1)+IF(A!F4=1,1)+IF(A!G4=1,1)+IF(A!H4=1,1)+IF(A!I4=1,1)+IF(A!J4=1,1)+IF(A!K4=1,1)+IF(A!L4=1,1)+IF(A!M4=1,1)+IF(A!N4=1,1)+IF(A!P4=1,1))=0,"",SUM(IF(A!B4=1,1)+IF(A!C4=1,1)+IF(A!D4=1,1)+IF(A!E4=1,1)+IF(A!F4=1,1)+IF(A!G4=1,1)+IF(A!H4=1,1)+IF(A!I4=1,1)+IF(A!J4=1,1)+IF(A!K4=1,1)+IF(A!L4=1,1)+IF(A!M4=1,1)+IF(A!N4=1,1)+IF(A!P4=1,1)))</f>
        <v>3</v>
      </c>
      <c r="F3" s="479"/>
      <c r="G3" s="480" t="str">
        <f>E!C4</f>
        <v>dobro</v>
      </c>
      <c r="H3" s="481" t="str">
        <f>E!D4</f>
        <v>( 3 )</v>
      </c>
      <c r="I3" s="482"/>
      <c r="J3" s="483" t="str">
        <f>IF(Upis!U4=0," ",IF(A!U4=5," ",IF(A!U4=4,"Odeljenskog star.",IF(A!U4=3,"Odeljenskog veća",IF(A!U4=2,"Direktora škole",IF(A!U4=1,"Nastavničkog veća"))))))</f>
        <v>Odeljenskog veća</v>
      </c>
      <c r="K3" s="482"/>
      <c r="L3" s="484">
        <f>IF(COUNT(A!C4:A!P4)&lt;1,0,AVERAGE(A!C4:A!P4))</f>
        <v>2.5833333333333335</v>
      </c>
      <c r="M3" s="476"/>
    </row>
    <row r="4" spans="1:13" ht="11.25" customHeight="1">
      <c r="A4" s="464">
        <v>3</v>
      </c>
      <c r="B4" s="465" t="str">
        <f>IF(A!B5=0," ",A!B5)</f>
        <v>Bosanac Ana</v>
      </c>
      <c r="C4" s="477" t="str">
        <f>IF(B!D5=0," ",B!D5)</f>
        <v>vrlodobar</v>
      </c>
      <c r="D4" s="467">
        <f>IF(B4=" "," ",IF((B!F5&gt;0),0,IF(COUNT(A!C5:A!P5)&lt;1,0,AVERAGE(A!C5:A!N5,A!P5))))</f>
        <v>3.923076923076923</v>
      </c>
      <c r="E4" s="478">
        <f>IF(SUM(IF(A!C5=1,1)+IF(A!D5=1,1)+IF(A!E5=1,1)+IF(A!F5=1,1)+IF(A!G5=1,1)+IF(A!H5=1,1)+IF(A!I5=1,1)+IF(A!J5=1,1)+IF(A!K5=1,1)+IF(A!L5=1,1)+IF(A!M5=1,1)+IF(A!N5=1,1)+IF(A!P5=1,1))=0,"",SUM(IF(A!B5=1,1)+IF(A!C5=1,1)+IF(A!D5=1,1)+IF(A!E5=1,1)+IF(A!F5=1,1)+IF(A!G5=1,1)+IF(A!H5=1,1)+IF(A!I5=1,1)+IF(A!J5=1,1)+IF(A!K5=1,1)+IF(A!L5=1,1)+IF(A!M5=1,1)+IF(A!N5=1,1)+IF(A!P5=1,1)))</f>
      </c>
      <c r="F4" s="479"/>
      <c r="G4" s="480" t="str">
        <f>E!C5</f>
        <v>primerno</v>
      </c>
      <c r="H4" s="481" t="str">
        <f>E!D5</f>
        <v>( 5 )</v>
      </c>
      <c r="I4" s="485"/>
      <c r="J4" s="483" t="str">
        <f>IF(Upis!U5=0," ",IF(A!U5=5," ",IF(A!U5=4,"Odeljenskog star.",IF(A!U5=3,"Odeljenskog veća",IF(A!U5=2,"Direktora škole",IF(A!U5=1,"Nastavničkog veća"))))))</f>
        <v> </v>
      </c>
      <c r="K4" s="482"/>
      <c r="L4" s="484">
        <f>IF(COUNT(A!C5:A!P5)&lt;1,0,AVERAGE(A!C5:A!P5))</f>
        <v>4</v>
      </c>
      <c r="M4" s="486"/>
    </row>
    <row r="5" spans="1:13" ht="11.25" customHeight="1">
      <c r="A5" s="464">
        <v>4</v>
      </c>
      <c r="B5" s="465" t="str">
        <f>IF(A!B6=0," ",A!B6)</f>
        <v>Brković Olivera</v>
      </c>
      <c r="C5" s="487" t="str">
        <f>IF(B!D6=0," ",B!D6)</f>
        <v>odlican</v>
      </c>
      <c r="D5" s="467">
        <f>IF(B5=" "," ",IF((B!F6&gt;0),0,IF(COUNT(A!C6:A!P6)&lt;1,0,AVERAGE(A!C6:A!N6,A!P6))))</f>
        <v>5</v>
      </c>
      <c r="E5" s="369">
        <f>IF(SUM(IF(A!C6=1,1)+IF(A!D6=1,1)+IF(A!E6=1,1)+IF(A!F6=1,1)+IF(A!G6=1,1)+IF(A!H6=1,1)+IF(A!I6=1,1)+IF(A!J6=1,1)+IF(A!K6=1,1)+IF(A!L6=1,1)+IF(A!M6=1,1)+IF(A!N6=1,1)+IF(A!P6=1,1))=0,"",SUM(IF(A!B6=1,1)+IF(A!C6=1,1)+IF(A!D6=1,1)+IF(A!E6=1,1)+IF(A!F6=1,1)+IF(A!G6=1,1)+IF(A!H6=1,1)+IF(A!I6=1,1)+IF(A!J6=1,1)+IF(A!K6=1,1)+IF(A!L6=1,1)+IF(A!M6=1,1)+IF(A!N6=1,1)+IF(A!P6=1,1)))</f>
      </c>
      <c r="F5" s="160"/>
      <c r="G5" s="165" t="str">
        <f>E!C6</f>
        <v>primerno</v>
      </c>
      <c r="H5" s="488" t="str">
        <f>E!D6</f>
        <v>( 5 )</v>
      </c>
      <c r="I5" s="161"/>
      <c r="J5" s="179" t="str">
        <f>IF(Upis!U6=0," ",IF(A!U6=5," ",IF(A!U6=4,"Odeljenskog star.",IF(A!U6=3,"Odeljenskog veća",IF(A!U6=2,"Direktora škole",IF(A!U6=1,"Nastavničkog veća"))))))</f>
        <v> </v>
      </c>
      <c r="K5" s="161"/>
      <c r="L5" s="489">
        <f>IF(COUNT(A!C6:A!P6)&lt;1,0,AVERAGE(A!C6:A!P6))</f>
        <v>5</v>
      </c>
      <c r="M5" s="476"/>
    </row>
    <row r="6" spans="1:13" ht="11.25" customHeight="1">
      <c r="A6" s="464">
        <v>5</v>
      </c>
      <c r="B6" s="465" t="str">
        <f>IF(A!B7=0," ",A!B7)</f>
        <v>Veselinović Nemanja</v>
      </c>
      <c r="C6" s="477" t="str">
        <f>IF(B!D7=0," ",B!D7)</f>
        <v>nedovoljan</v>
      </c>
      <c r="D6" s="467">
        <f>IF(B6=" "," ",IF((B!F7&gt;0),0,IF(COUNT(A!C7:A!P7)&lt;1,0,AVERAGE(A!C7:A!N7,A!P7))))</f>
        <v>0</v>
      </c>
      <c r="E6" s="478">
        <f>IF(SUM(IF(A!C7=1,1)+IF(A!D7=1,1)+IF(A!E7=1,1)+IF(A!F7=1,1)+IF(A!G7=1,1)+IF(A!H7=1,1)+IF(A!I7=1,1)+IF(A!J7=1,1)+IF(A!K7=1,1)+IF(A!L7=1,1)+IF(A!M7=1,1)+IF(A!N7=1,1)+IF(A!P7=1,1))=0,"",SUM(IF(A!B7=1,1)+IF(A!C7=1,1)+IF(A!D7=1,1)+IF(A!E7=1,1)+IF(A!F7=1,1)+IF(A!G7=1,1)+IF(A!H7=1,1)+IF(A!I7=1,1)+IF(A!J7=1,1)+IF(A!K7=1,1)+IF(A!L7=1,1)+IF(A!M7=1,1)+IF(A!N7=1,1)+IF(A!P7=1,1)))</f>
        <v>2</v>
      </c>
      <c r="F6" s="479"/>
      <c r="G6" s="480" t="str">
        <f>E!C7</f>
        <v>dobro</v>
      </c>
      <c r="H6" s="481" t="str">
        <f>E!D7</f>
        <v>( 3 )</v>
      </c>
      <c r="I6" s="490"/>
      <c r="J6" s="483" t="str">
        <f>IF(Upis!U7=0," ",IF(A!U7=5," ",IF(A!U7=4,"Odeljenskog star.",IF(A!U7=3,"Odeljenskog veća",IF(A!U7=2,"Direktora škole",IF(A!U7=1,"Nastavničkog veća"))))))</f>
        <v>Odeljenskog veća</v>
      </c>
      <c r="K6" s="482"/>
      <c r="L6" s="484">
        <f>IF(COUNT(A!C7:A!P7)&lt;1,0,AVERAGE(A!C7:A!P7))</f>
        <v>3.230769230769231</v>
      </c>
      <c r="M6" s="476"/>
    </row>
    <row r="7" spans="1:13" ht="11.25" customHeight="1">
      <c r="A7" s="464">
        <v>6</v>
      </c>
      <c r="B7" s="465" t="str">
        <f>IF(A!B8=0," ",A!B8)</f>
        <v>Gligorijević Grigorije</v>
      </c>
      <c r="C7" s="487" t="str">
        <f>IF(B!D8=0," ",B!D8)</f>
        <v>nedovoljan</v>
      </c>
      <c r="D7" s="467">
        <f>IF(B7=" "," ",IF((B!F8&gt;0),0,IF(COUNT(A!C8:A!P8)&lt;1,0,AVERAGE(A!C8:A!N8,A!P8))))</f>
        <v>0</v>
      </c>
      <c r="E7" s="369">
        <f>IF(SUM(IF(A!C8=1,1)+IF(A!D8=1,1)+IF(A!E8=1,1)+IF(A!F8=1,1)+IF(A!G8=1,1)+IF(A!H8=1,1)+IF(A!I8=1,1)+IF(A!J8=1,1)+IF(A!K8=1,1)+IF(A!L8=1,1)+IF(A!M8=1,1)+IF(A!N8=1,1)+IF(A!P8=1,1))=0,"",SUM(IF(A!B8=1,1)+IF(A!C8=1,1)+IF(A!D8=1,1)+IF(A!E8=1,1)+IF(A!F8=1,1)+IF(A!G8=1,1)+IF(A!H8=1,1)+IF(A!I8=1,1)+IF(A!J8=1,1)+IF(A!K8=1,1)+IF(A!L8=1,1)+IF(A!M8=1,1)+IF(A!N8=1,1)+IF(A!P8=1,1)))</f>
        <v>2</v>
      </c>
      <c r="F7" s="160"/>
      <c r="G7" s="165" t="str">
        <f>E!C8</f>
        <v>primerno</v>
      </c>
      <c r="H7" s="488" t="str">
        <f>E!D8</f>
        <v>( 5 )</v>
      </c>
      <c r="I7" s="99"/>
      <c r="J7" s="179" t="str">
        <f>IF(Upis!U8=0," ",IF(A!U8=5," ",IF(A!U8=4,"Odeljenskog star.",IF(A!U8=3,"Odeljenskog veća",IF(A!U8=2,"Direktora škole",IF(A!U8=1,"Nastavničkog veća"))))))</f>
        <v> </v>
      </c>
      <c r="K7" s="161"/>
      <c r="L7" s="489">
        <f>IF(COUNT(A!C8:A!P8)&lt;1,0,AVERAGE(A!C8:A!P8))</f>
        <v>3.6923076923076925</v>
      </c>
      <c r="M7" s="476"/>
    </row>
    <row r="8" spans="1:13" ht="11.25" customHeight="1">
      <c r="A8" s="464">
        <v>7</v>
      </c>
      <c r="B8" s="465" t="str">
        <f>IF(A!B9=0," ",A!B9)</f>
        <v>Djordjević Ivana</v>
      </c>
      <c r="C8" s="477" t="str">
        <f>IF(B!D9=0," ",B!D9)</f>
        <v>nedovoljan</v>
      </c>
      <c r="D8" s="467">
        <f>IF(B8=" "," ",IF((B!F9&gt;0),0,IF(COUNT(A!C9:A!P9)&lt;1,0,AVERAGE(A!C9:A!N9,A!P9))))</f>
        <v>0</v>
      </c>
      <c r="E8" s="478">
        <f>IF(SUM(IF(A!C9=1,1)+IF(A!D9=1,1)+IF(A!E9=1,1)+IF(A!F9=1,1)+IF(A!G9=1,1)+IF(A!H9=1,1)+IF(A!I9=1,1)+IF(A!J9=1,1)+IF(A!K9=1,1)+IF(A!L9=1,1)+IF(A!M9=1,1)+IF(A!N9=1,1)+IF(A!P9=1,1))=0,"",SUM(IF(A!B9=1,1)+IF(A!C9=1,1)+IF(A!D9=1,1)+IF(A!E9=1,1)+IF(A!F9=1,1)+IF(A!G9=1,1)+IF(A!H9=1,1)+IF(A!I9=1,1)+IF(A!J9=1,1)+IF(A!K9=1,1)+IF(A!L9=1,1)+IF(A!M9=1,1)+IF(A!N9=1,1)+IF(A!P9=1,1)))</f>
        <v>1</v>
      </c>
      <c r="F8" s="479"/>
      <c r="G8" s="480" t="str">
        <f>E!C9</f>
        <v>primerno</v>
      </c>
      <c r="H8" s="481" t="str">
        <f>E!D9</f>
        <v>( 5 )</v>
      </c>
      <c r="I8" s="485"/>
      <c r="J8" s="483" t="str">
        <f>IF(Upis!U9=0," ",IF(A!U9=5," ",IF(A!U9=4,"Odeljenskog star.",IF(A!U9=3,"Odeljenskog veća",IF(A!U9=2,"Direktora škole",IF(A!U9=1,"Nastavničkog veća"))))))</f>
        <v> </v>
      </c>
      <c r="K8" s="482"/>
      <c r="L8" s="484">
        <f>IF(COUNT(A!C9:A!P9)&lt;1,0,AVERAGE(A!C9:A!P9))</f>
        <v>3.142857142857143</v>
      </c>
      <c r="M8" s="476"/>
    </row>
    <row r="9" spans="1:13" ht="11.25" customHeight="1">
      <c r="A9" s="464">
        <v>8</v>
      </c>
      <c r="B9" s="491" t="str">
        <f>IF(A!B10=0," ",A!B10)</f>
        <v>Ivković Jelena</v>
      </c>
      <c r="C9" s="487" t="str">
        <f>IF(B!D10=0," ",B!D10)</f>
        <v>vrlodobar</v>
      </c>
      <c r="D9" s="467">
        <f>IF(B9=" "," ",IF((B!F10&gt;0),0,IF(COUNT(A!C10:A!P10)&lt;1,0,AVERAGE(A!C10:A!N10,A!P10))))</f>
        <v>4.416666666666667</v>
      </c>
      <c r="E9" s="369">
        <f>IF(SUM(IF(A!C10=1,1)+IF(A!D10=1,1)+IF(A!E10=1,1)+IF(A!F10=1,1)+IF(A!G10=1,1)+IF(A!H10=1,1)+IF(A!I10=1,1)+IF(A!J10=1,1)+IF(A!K10=1,1)+IF(A!L10=1,1)+IF(A!M10=1,1)+IF(A!N10=1,1)+IF(A!P10=1,1))=0,"",SUM(IF(A!B10=1,1)+IF(A!C10=1,1)+IF(A!D10=1,1)+IF(A!E10=1,1)+IF(A!F10=1,1)+IF(A!G10=1,1)+IF(A!H10=1,1)+IF(A!I10=1,1)+IF(A!J10=1,1)+IF(A!K10=1,1)+IF(A!L10=1,1)+IF(A!M10=1,1)+IF(A!N10=1,1)+IF(A!P10=1,1)))</f>
      </c>
      <c r="F9" s="160"/>
      <c r="G9" s="165" t="str">
        <f>E!C10</f>
        <v>primerno</v>
      </c>
      <c r="H9" s="488" t="str">
        <f>E!D10</f>
        <v>( 5 )</v>
      </c>
      <c r="I9" s="147"/>
      <c r="J9" s="179" t="str">
        <f>IF(Upis!U10=0," ",IF(A!U10=5," ",IF(A!U10=4,"Odeljenskog star.",IF(A!U10=3,"Odeljenskog veća",IF(A!U10=2,"Direktora škole",IF(A!U10=1,"Nastavničkog veća"))))))</f>
        <v> </v>
      </c>
      <c r="K9" s="161"/>
      <c r="L9" s="489">
        <f>IF(COUNT(A!C10:A!P10)&lt;1,0,AVERAGE(A!C10:A!P10))</f>
        <v>4.416666666666667</v>
      </c>
      <c r="M9" s="492"/>
    </row>
    <row r="10" spans="1:13" ht="11.25" customHeight="1">
      <c r="A10" s="464">
        <v>9</v>
      </c>
      <c r="B10" s="465" t="str">
        <f>IF(A!B11=0," ",A!B11)</f>
        <v>Jelisavac Jovana</v>
      </c>
      <c r="C10" s="477" t="str">
        <f>IF(B!D11=0," ",B!D11)</f>
        <v>odlican</v>
      </c>
      <c r="D10" s="467">
        <f>IF(B10=" "," ",IF((B!F11&gt;0),0,IF(COUNT(A!C11:A!P11)&lt;1,0,AVERAGE(A!C11:A!N11,A!P11))))</f>
        <v>5</v>
      </c>
      <c r="E10" s="478">
        <f>IF(SUM(IF(A!C11=1,1)+IF(A!D11=1,1)+IF(A!E11=1,1)+IF(A!F11=1,1)+IF(A!G11=1,1)+IF(A!H11=1,1)+IF(A!I11=1,1)+IF(A!J11=1,1)+IF(A!K11=1,1)+IF(A!L11=1,1)+IF(A!M11=1,1)+IF(A!N11=1,1)+IF(A!P11=1,1))=0,"",SUM(IF(A!B11=1,1)+IF(A!C11=1,1)+IF(A!D11=1,1)+IF(A!E11=1,1)+IF(A!F11=1,1)+IF(A!G11=1,1)+IF(A!H11=1,1)+IF(A!I11=1,1)+IF(A!J11=1,1)+IF(A!K11=1,1)+IF(A!L11=1,1)+IF(A!M11=1,1)+IF(A!N11=1,1)+IF(A!P11=1,1)))</f>
      </c>
      <c r="F10" s="479"/>
      <c r="G10" s="480" t="str">
        <f>E!C11</f>
        <v>primerno</v>
      </c>
      <c r="H10" s="481" t="str">
        <f>E!D11</f>
        <v>( 5 )</v>
      </c>
      <c r="I10" s="482"/>
      <c r="J10" s="483" t="str">
        <f>IF(Upis!U11=0," ",IF(A!U11=5," ",IF(A!U11=4,"Odeljenskog star.",IF(A!U11=3,"Odeljenskog veća",IF(A!U11=2,"Direktora škole",IF(A!U11=1,"Nastavničkog veća"))))))</f>
        <v> </v>
      </c>
      <c r="K10" s="482"/>
      <c r="L10" s="484">
        <f>IF(COUNT(A!C11:A!P11)&lt;1,0,AVERAGE(A!C11:A!P11))</f>
        <v>5</v>
      </c>
      <c r="M10" s="492"/>
    </row>
    <row r="11" spans="1:13" ht="11.25" customHeight="1">
      <c r="A11" s="464">
        <v>10</v>
      </c>
      <c r="B11" s="465" t="str">
        <f>IF(A!B12=0," ",A!B12)</f>
        <v>Knežić Filip</v>
      </c>
      <c r="C11" s="477" t="str">
        <f>IF(B!D12=0," ",B!D12)</f>
        <v>vrlodobar</v>
      </c>
      <c r="D11" s="467">
        <f>IF(B11=" "," ",IF((B!F12&gt;0),0,IF(COUNT(A!C12:A!P12)&lt;1,0,AVERAGE(A!C12:A!N12,A!P12))))</f>
        <v>3.6153846153846154</v>
      </c>
      <c r="E11" s="478">
        <f>IF(SUM(IF(A!C12=1,1)+IF(A!D12=1,1)+IF(A!E12=1,1)+IF(A!F12=1,1)+IF(A!G12=1,1)+IF(A!H12=1,1)+IF(A!I12=1,1)+IF(A!J12=1,1)+IF(A!K12=1,1)+IF(A!L12=1,1)+IF(A!M12=1,1)+IF(A!N12=1,1)+IF(A!P12=1,1))=0,"",SUM(IF(A!B12=1,1)+IF(A!C12=1,1)+IF(A!D12=1,1)+IF(A!E12=1,1)+IF(A!F12=1,1)+IF(A!G12=1,1)+IF(A!H12=1,1)+IF(A!I12=1,1)+IF(A!J12=1,1)+IF(A!K12=1,1)+IF(A!L12=1,1)+IF(A!M12=1,1)+IF(A!N12=1,1)+IF(A!P12=1,1)))</f>
      </c>
      <c r="F11" s="479"/>
      <c r="G11" s="480" t="str">
        <f>E!C12</f>
        <v>primerno</v>
      </c>
      <c r="H11" s="481" t="str">
        <f>E!D12</f>
        <v>( 5 )</v>
      </c>
      <c r="I11" s="482"/>
      <c r="J11" s="483" t="str">
        <f>IF(Upis!U12=0," ",IF(A!U12=5," ",IF(A!U12=4,"Odeljenskog star.",IF(A!U12=3,"Odeljenskog veća",IF(A!U12=2,"Direktora škole",IF(A!U12=1,"Nastavničkog veća"))))))</f>
        <v> </v>
      </c>
      <c r="K11" s="482"/>
      <c r="L11" s="484">
        <f>IF(COUNT(A!C12:A!P12)&lt;1,0,AVERAGE(A!C12:A!P12))</f>
        <v>3.642857142857143</v>
      </c>
      <c r="M11" s="492"/>
    </row>
    <row r="12" spans="1:13" ht="11.25" customHeight="1">
      <c r="A12" s="464">
        <v>11</v>
      </c>
      <c r="B12" s="491" t="str">
        <f>IF(A!B13=0," ",A!B13)</f>
        <v>Lazarević Milena</v>
      </c>
      <c r="C12" s="487" t="str">
        <f>IF(B!D13=0," ",B!D13)</f>
        <v>nedovoljan</v>
      </c>
      <c r="D12" s="467">
        <f>IF(B12=" "," ",IF((B!F13&gt;0),0,IF(COUNT(A!C13:A!P13)&lt;1,0,AVERAGE(A!C13:A!N13,A!P13))))</f>
        <v>0</v>
      </c>
      <c r="E12" s="369">
        <f>IF(SUM(IF(A!C13=1,1)+IF(A!D13=1,1)+IF(A!E13=1,1)+IF(A!F13=1,1)+IF(A!G13=1,1)+IF(A!H13=1,1)+IF(A!I13=1,1)+IF(A!J13=1,1)+IF(A!K13=1,1)+IF(A!L13=1,1)+IF(A!M13=1,1)+IF(A!N13=1,1)+IF(A!P13=1,1))=0,"",SUM(IF(A!B13=1,1)+IF(A!C13=1,1)+IF(A!D13=1,1)+IF(A!E13=1,1)+IF(A!F13=1,1)+IF(A!G13=1,1)+IF(A!H13=1,1)+IF(A!I13=1,1)+IF(A!J13=1,1)+IF(A!K13=1,1)+IF(A!L13=1,1)+IF(A!M13=1,1)+IF(A!N13=1,1)+IF(A!P13=1,1)))</f>
        <v>2</v>
      </c>
      <c r="F12" s="97"/>
      <c r="G12" s="165" t="str">
        <f>E!C13</f>
        <v>vrlodobro</v>
      </c>
      <c r="H12" s="488" t="str">
        <f>E!D13</f>
        <v>( 4 )</v>
      </c>
      <c r="I12" s="161"/>
      <c r="J12" s="179" t="str">
        <f>IF(Upis!U13=0," ",IF(A!U13=5," ",IF(A!U13=4,"Odeljenskog star.",IF(A!U13=3,"Odeljenskog veća",IF(A!U13=2,"Direktora škole",IF(A!U13=1,"Nastavničkog veća"))))))</f>
        <v>Odeljenskog star.</v>
      </c>
      <c r="K12" s="161"/>
      <c r="L12" s="489">
        <f>IF(COUNT(A!C13:A!P13)&lt;1,0,AVERAGE(A!C13:A!P13))</f>
        <v>2.4166666666666665</v>
      </c>
      <c r="M12" s="492"/>
    </row>
    <row r="13" spans="1:13" ht="11.25" customHeight="1">
      <c r="A13" s="464">
        <v>12</v>
      </c>
      <c r="B13" s="465" t="str">
        <f>IF(A!B14=0," ",A!B14)</f>
        <v>Masleša Marija</v>
      </c>
      <c r="C13" s="477" t="str">
        <f>IF(B!D14=0," ",B!D14)</f>
        <v>odlican</v>
      </c>
      <c r="D13" s="467">
        <f>IF(B13=" "," ",IF((B!F14&gt;0),0,IF(COUNT(A!C14:A!P14)&lt;1,0,AVERAGE(A!C14:A!N14,A!P14))))</f>
        <v>4.923076923076923</v>
      </c>
      <c r="E13" s="478">
        <f>IF(SUM(IF(A!C14=1,1)+IF(A!D14=1,1)+IF(A!E14=1,1)+IF(A!F14=1,1)+IF(A!G14=1,1)+IF(A!H14=1,1)+IF(A!I14=1,1)+IF(A!J14=1,1)+IF(A!K14=1,1)+IF(A!L14=1,1)+IF(A!M14=1,1)+IF(A!N14=1,1)+IF(A!P14=1,1))=0,"",SUM(IF(A!B14=1,1)+IF(A!C14=1,1)+IF(A!D14=1,1)+IF(A!E14=1,1)+IF(A!F14=1,1)+IF(A!G14=1,1)+IF(A!H14=1,1)+IF(A!I14=1,1)+IF(A!J14=1,1)+IF(A!K14=1,1)+IF(A!L14=1,1)+IF(A!M14=1,1)+IF(A!N14=1,1)+IF(A!P14=1,1)))</f>
      </c>
      <c r="F13" s="479"/>
      <c r="G13" s="480" t="str">
        <f>E!C14</f>
        <v>primerno</v>
      </c>
      <c r="H13" s="481" t="str">
        <f>E!D14</f>
        <v>( 5 )</v>
      </c>
      <c r="I13" s="485"/>
      <c r="J13" s="483" t="str">
        <f>IF(Upis!U14=0," ",IF(A!U14=5," ",IF(A!U14=4,"Odeljenskog star.",IF(A!U14=3,"Odeljenskog veća",IF(A!U14=2,"Direktora škole",IF(A!U14=1,"Nastavničkog veća"))))))</f>
        <v> </v>
      </c>
      <c r="K13" s="482"/>
      <c r="L13" s="484">
        <f>IF(COUNT(A!C14:A!P14)&lt;1,0,AVERAGE(A!C14:A!P14))</f>
        <v>4.928571428571429</v>
      </c>
      <c r="M13" s="493"/>
    </row>
    <row r="14" spans="1:13" ht="11.25" customHeight="1">
      <c r="A14" s="464">
        <v>13</v>
      </c>
      <c r="B14" s="491" t="str">
        <f>IF(A!B15=0," ",A!B15)</f>
        <v>Mijajlović Marko</v>
      </c>
      <c r="C14" s="487" t="str">
        <f>IF(B!D15=0," ",B!D15)</f>
        <v>vrlodobar</v>
      </c>
      <c r="D14" s="467">
        <f>IF(B14=" "," ",IF((B!F15&gt;0),0,IF(COUNT(A!C15:A!P15)&lt;1,0,AVERAGE(A!C15:A!N15,A!P15))))</f>
        <v>4.333333333333333</v>
      </c>
      <c r="E14" s="369">
        <f>IF(SUM(IF(A!C15=1,1)+IF(A!D15=1,1)+IF(A!E15=1,1)+IF(A!F15=1,1)+IF(A!G15=1,1)+IF(A!H15=1,1)+IF(A!I15=1,1)+IF(A!J15=1,1)+IF(A!K15=1,1)+IF(A!L15=1,1)+IF(A!M15=1,1)+IF(A!N15=1,1)+IF(A!P15=1,1))=0,"",SUM(IF(A!B15=1,1)+IF(A!C15=1,1)+IF(A!D15=1,1)+IF(A!E15=1,1)+IF(A!F15=1,1)+IF(A!G15=1,1)+IF(A!H15=1,1)+IF(A!I15=1,1)+IF(A!J15=1,1)+IF(A!K15=1,1)+IF(A!L15=1,1)+IF(A!M15=1,1)+IF(A!N15=1,1)+IF(A!P15=1,1)))</f>
      </c>
      <c r="F14" s="160"/>
      <c r="G14" s="165" t="str">
        <f>E!C15</f>
        <v>primerno</v>
      </c>
      <c r="H14" s="488" t="str">
        <f>E!D15</f>
        <v>( 5 )</v>
      </c>
      <c r="I14" s="147"/>
      <c r="J14" s="179" t="str">
        <f>IF(Upis!U15=0," ",IF(A!U15=5," ",IF(A!U15=4,"Odeljenskog star.",IF(A!U15=3,"Odeljenskog veća",IF(A!U15=2,"Direktora škole",IF(A!U15=1,"Nastavničkog veća"))))))</f>
        <v> </v>
      </c>
      <c r="K14" s="161"/>
      <c r="L14" s="489">
        <f>IF(COUNT(A!C15:A!P15)&lt;1,0,AVERAGE(A!C15:A!P15))</f>
        <v>4.384615384615385</v>
      </c>
      <c r="M14" s="492"/>
    </row>
    <row r="15" spans="1:13" ht="11.25" customHeight="1">
      <c r="A15" s="464">
        <v>14</v>
      </c>
      <c r="B15" s="465" t="str">
        <f>IF(A!B16=0," ",A!B16)</f>
        <v>Milanović Sara</v>
      </c>
      <c r="C15" s="477" t="str">
        <f>IF(B!D16=0," ",B!D16)</f>
        <v>vrlodobar</v>
      </c>
      <c r="D15" s="467">
        <f>IF(B15=" "," ",IF((B!F16&gt;0),0,IF(COUNT(A!C16:A!P16)&lt;1,0,AVERAGE(A!C16:A!N16,A!P16))))</f>
        <v>4.333333333333333</v>
      </c>
      <c r="E15" s="478">
        <f>IF(SUM(IF(A!C16=1,1)+IF(A!D16=1,1)+IF(A!E16=1,1)+IF(A!F16=1,1)+IF(A!G16=1,1)+IF(A!H16=1,1)+IF(A!I16=1,1)+IF(A!J16=1,1)+IF(A!K16=1,1)+IF(A!L16=1,1)+IF(A!M16=1,1)+IF(A!N16=1,1)+IF(A!P16=1,1))=0,"",SUM(IF(A!B16=1,1)+IF(A!C16=1,1)+IF(A!D16=1,1)+IF(A!E16=1,1)+IF(A!F16=1,1)+IF(A!G16=1,1)+IF(A!H16=1,1)+IF(A!I16=1,1)+IF(A!J16=1,1)+IF(A!K16=1,1)+IF(A!L16=1,1)+IF(A!M16=1,1)+IF(A!N16=1,1)+IF(A!P16=1,1)))</f>
      </c>
      <c r="F15" s="479"/>
      <c r="G15" s="480" t="str">
        <f>E!C16</f>
        <v>primerno</v>
      </c>
      <c r="H15" s="481" t="str">
        <f>E!D16</f>
        <v>( 5 )</v>
      </c>
      <c r="I15" s="490"/>
      <c r="J15" s="483" t="str">
        <f>IF(Upis!U16=0," ",IF(A!U16=5," ",IF(A!U16=4,"Odeljenskog star.",IF(A!U16=3,"Odeljenskog veća",IF(A!U16=2,"Direktora škole",IF(A!U16=1,"Nastavničkog veća"))))))</f>
        <v> </v>
      </c>
      <c r="K15" s="482"/>
      <c r="L15" s="484">
        <f>IF(COUNT(A!C16:A!P16)&lt;1,0,AVERAGE(A!C16:A!P16))</f>
        <v>4.333333333333333</v>
      </c>
      <c r="M15" s="492"/>
    </row>
    <row r="16" spans="1:13" ht="11.25" customHeight="1">
      <c r="A16" s="464">
        <v>15</v>
      </c>
      <c r="B16" s="491" t="str">
        <f>IF(A!B17=0," ",A!B17)</f>
        <v>Milošević Stefan</v>
      </c>
      <c r="C16" s="487" t="str">
        <f>IF(B!D17=0," ",B!D17)</f>
        <v>nedovoljan</v>
      </c>
      <c r="D16" s="467">
        <f>IF(B16=" "," ",IF((B!F17&gt;0),0,IF(COUNT(A!C17:A!P17)&lt;1,0,AVERAGE(A!C17:A!N17,A!P17))))</f>
        <v>0</v>
      </c>
      <c r="E16" s="369">
        <f>IF(SUM(IF(A!C17=1,1)+IF(A!D17=1,1)+IF(A!E17=1,1)+IF(A!F17=1,1)+IF(A!G17=1,1)+IF(A!H17=1,1)+IF(A!I17=1,1)+IF(A!J17=1,1)+IF(A!K17=1,1)+IF(A!L17=1,1)+IF(A!M17=1,1)+IF(A!N17=1,1)+IF(A!P17=1,1))=0,"",SUM(IF(A!B17=1,1)+IF(A!C17=1,1)+IF(A!D17=1,1)+IF(A!E17=1,1)+IF(A!F17=1,1)+IF(A!G17=1,1)+IF(A!H17=1,1)+IF(A!I17=1,1)+IF(A!J17=1,1)+IF(A!K17=1,1)+IF(A!L17=1,1)+IF(A!M17=1,1)+IF(A!N17=1,1)+IF(A!P17=1,1)))</f>
        <v>3</v>
      </c>
      <c r="F16" s="160"/>
      <c r="G16" s="165" t="str">
        <f>E!C17</f>
        <v>vrlodobro</v>
      </c>
      <c r="H16" s="488" t="str">
        <f>E!D17</f>
        <v>( 4 )</v>
      </c>
      <c r="I16" s="161"/>
      <c r="J16" s="179" t="str">
        <f>IF(Upis!U17=0," ",IF(A!U17=5," ",IF(A!U17=4,"Odeljenskog star.",IF(A!U17=3,"Odeljenskog veća",IF(A!U17=2,"Direktora škole",IF(A!U17=1,"Nastavničkog veća"))))))</f>
        <v>Odeljenskog star.</v>
      </c>
      <c r="K16" s="161"/>
      <c r="L16" s="489">
        <f>IF(COUNT(A!C17:A!P17)&lt;1,0,AVERAGE(A!C17:A!P17))</f>
        <v>2.8461538461538463</v>
      </c>
      <c r="M16" s="492"/>
    </row>
    <row r="17" spans="1:13" ht="11.25" customHeight="1">
      <c r="A17" s="464">
        <v>16</v>
      </c>
      <c r="B17" s="465" t="str">
        <f>IF(A!B18=0," ",A!B18)</f>
        <v>Novaković Milena</v>
      </c>
      <c r="C17" s="477" t="str">
        <f>IF(B!D18=0," ",B!D18)</f>
        <v>odlican</v>
      </c>
      <c r="D17" s="467">
        <f>IF(B17=" "," ",IF((B!F18&gt;0),0,IF(COUNT(A!C18:A!P18)&lt;1,0,AVERAGE(A!C18:A!N18,A!P18))))</f>
        <v>4.846153846153846</v>
      </c>
      <c r="E17" s="478">
        <f>IF(SUM(IF(A!C18=1,1)+IF(A!D18=1,1)+IF(A!E18=1,1)+IF(A!F18=1,1)+IF(A!G18=1,1)+IF(A!H18=1,1)+IF(A!I18=1,1)+IF(A!J18=1,1)+IF(A!K18=1,1)+IF(A!L18=1,1)+IF(A!M18=1,1)+IF(A!N18=1,1)+IF(A!P18=1,1))=0,"",SUM(IF(A!B18=1,1)+IF(A!C18=1,1)+IF(A!D18=1,1)+IF(A!E18=1,1)+IF(A!F18=1,1)+IF(A!G18=1,1)+IF(A!H18=1,1)+IF(A!I18=1,1)+IF(A!J18=1,1)+IF(A!K18=1,1)+IF(A!L18=1,1)+IF(A!M18=1,1)+IF(A!N18=1,1)+IF(A!P18=1,1)))</f>
      </c>
      <c r="F17" s="479"/>
      <c r="G17" s="480" t="str">
        <f>E!C18</f>
        <v>primerno</v>
      </c>
      <c r="H17" s="481" t="str">
        <f>E!D18</f>
        <v>( 5 )</v>
      </c>
      <c r="I17" s="490"/>
      <c r="J17" s="483" t="str">
        <f>IF(Upis!U18=0," ",IF(A!U18=5," ",IF(A!U18=4,"Odeljenskog star.",IF(A!U18=3,"Odeljenskog veća",IF(A!U18=2,"Direktora škole",IF(A!U18=1,"Nastavničkog veća"))))))</f>
        <v> </v>
      </c>
      <c r="K17" s="482"/>
      <c r="L17" s="484">
        <f>IF(COUNT(A!C18:A!P18)&lt;1,0,AVERAGE(A!C18:A!P18))</f>
        <v>4.857142857142857</v>
      </c>
      <c r="M17" s="493"/>
    </row>
    <row r="18" spans="1:13" ht="11.25" customHeight="1">
      <c r="A18" s="464">
        <v>17</v>
      </c>
      <c r="B18" s="491" t="str">
        <f>IF(A!B19=0," ",A!B19)</f>
        <v>Orbanović Gradimir</v>
      </c>
      <c r="C18" s="487" t="str">
        <f>IF(B!D19=0," ",B!D19)</f>
        <v>vrlodobar</v>
      </c>
      <c r="D18" s="467">
        <f>IF(B18=" "," ",IF((B!F19&gt;0),0,IF(COUNT(A!C19:A!P19)&lt;1,0,AVERAGE(A!C19:A!N19,A!P19))))</f>
        <v>4.166666666666667</v>
      </c>
      <c r="E18" s="369">
        <f>IF(SUM(IF(A!C19=1,1)+IF(A!D19=1,1)+IF(A!E19=1,1)+IF(A!F19=1,1)+IF(A!G19=1,1)+IF(A!H19=1,1)+IF(A!I19=1,1)+IF(A!J19=1,1)+IF(A!K19=1,1)+IF(A!L19=1,1)+IF(A!M19=1,1)+IF(A!N19=1,1)+IF(A!P19=1,1))=0,"",SUM(IF(A!B19=1,1)+IF(A!C19=1,1)+IF(A!D19=1,1)+IF(A!E19=1,1)+IF(A!F19=1,1)+IF(A!G19=1,1)+IF(A!H19=1,1)+IF(A!I19=1,1)+IF(A!J19=1,1)+IF(A!K19=1,1)+IF(A!L19=1,1)+IF(A!M19=1,1)+IF(A!N19=1,1)+IF(A!P19=1,1)))</f>
      </c>
      <c r="F18" s="160"/>
      <c r="G18" s="165" t="str">
        <f>E!C19</f>
        <v>primerno</v>
      </c>
      <c r="H18" s="488" t="str">
        <f>E!D19</f>
        <v>( 5 )</v>
      </c>
      <c r="I18" s="99"/>
      <c r="J18" s="179" t="str">
        <f>IF(Upis!U19=0," ",IF(A!U19=5," ",IF(A!U19=4,"Odeljenskog star.",IF(A!U19=3,"Odeljenskog veća",IF(A!U19=2,"Direktora škole",IF(A!U19=1,"Nastavničkog veća"))))))</f>
        <v> </v>
      </c>
      <c r="K18" s="161"/>
      <c r="L18" s="489">
        <f>IF(COUNT(A!C19:A!P19)&lt;1,0,AVERAGE(A!C19:A!P19))</f>
        <v>4.166666666666667</v>
      </c>
      <c r="M18" s="493"/>
    </row>
    <row r="19" spans="1:13" ht="11.25" customHeight="1">
      <c r="A19" s="464">
        <v>18</v>
      </c>
      <c r="B19" s="465" t="str">
        <f>IF(A!B20=0," ",A!B20)</f>
        <v>Poček Sonja</v>
      </c>
      <c r="C19" s="477" t="str">
        <f>IF(B!D20=0," ",B!D20)</f>
        <v>odlican</v>
      </c>
      <c r="D19" s="467">
        <f>IF(B19=" "," ",IF((B!F20&gt;0),0,IF(COUNT(A!C20:A!P20)&lt;1,0,AVERAGE(A!C20:A!N20,A!P20))))</f>
        <v>5</v>
      </c>
      <c r="E19" s="478">
        <f>IF(SUM(IF(A!C20=1,1)+IF(A!D20=1,1)+IF(A!E20=1,1)+IF(A!F20=1,1)+IF(A!G20=1,1)+IF(A!H20=1,1)+IF(A!I20=1,1)+IF(A!J20=1,1)+IF(A!K20=1,1)+IF(A!L20=1,1)+IF(A!M20=1,1)+IF(A!N20=1,1)+IF(A!P20=1,1))=0,"",SUM(IF(A!B20=1,1)+IF(A!C20=1,1)+IF(A!D20=1,1)+IF(A!E20=1,1)+IF(A!F20=1,1)+IF(A!G20=1,1)+IF(A!H20=1,1)+IF(A!I20=1,1)+IF(A!J20=1,1)+IF(A!K20=1,1)+IF(A!L20=1,1)+IF(A!M20=1,1)+IF(A!N20=1,1)+IF(A!P20=1,1)))</f>
      </c>
      <c r="F19" s="479"/>
      <c r="G19" s="480" t="str">
        <f>E!C20</f>
        <v>primerno</v>
      </c>
      <c r="H19" s="481" t="str">
        <f>E!D20</f>
        <v>( 5 )</v>
      </c>
      <c r="I19" s="485"/>
      <c r="J19" s="483" t="str">
        <f>IF(Upis!U20=0," ",IF(A!U20=5," ",IF(A!U20=4,"Odeljenskog star.",IF(A!U20=3,"Odeljenskog veća",IF(A!U20=2,"Direktora škole",IF(A!U20=1,"Nastavničkog veća"))))))</f>
        <v> </v>
      </c>
      <c r="K19" s="482"/>
      <c r="L19" s="484">
        <f>IF(COUNT(A!C20:A!P20)&lt;1,0,AVERAGE(A!C20:A!P20))</f>
        <v>5</v>
      </c>
      <c r="M19" s="493"/>
    </row>
    <row r="20" spans="1:13" ht="11.25" customHeight="1">
      <c r="A20" s="464">
        <v>19</v>
      </c>
      <c r="B20" s="491" t="str">
        <f>IF(A!B21=0," ",A!B21)</f>
        <v>Rozman Marko</v>
      </c>
      <c r="C20" s="487" t="str">
        <f>IF(B!D21=0," ",B!D21)</f>
        <v>nedovoljan</v>
      </c>
      <c r="D20" s="467">
        <f>IF(B20=" "," ",IF((B!F21&gt;0),0,IF(COUNT(A!C21:A!P21)&lt;1,0,AVERAGE(A!C21:A!N21,A!P21))))</f>
        <v>0</v>
      </c>
      <c r="E20" s="369">
        <f>IF(SUM(IF(A!C21=1,1)+IF(A!D21=1,1)+IF(A!E21=1,1)+IF(A!F21=1,1)+IF(A!G21=1,1)+IF(A!H21=1,1)+IF(A!I21=1,1)+IF(A!J21=1,1)+IF(A!K21=1,1)+IF(A!L21=1,1)+IF(A!M21=1,1)+IF(A!N21=1,1)+IF(A!P21=1,1))=0,"",SUM(IF(A!B21=1,1)+IF(A!C21=1,1)+IF(A!D21=1,1)+IF(A!E21=1,1)+IF(A!F21=1,1)+IF(A!G21=1,1)+IF(A!H21=1,1)+IF(A!I21=1,1)+IF(A!J21=1,1)+IF(A!K21=1,1)+IF(A!L21=1,1)+IF(A!M21=1,1)+IF(A!N21=1,1)+IF(A!P21=1,1)))</f>
        <v>2</v>
      </c>
      <c r="F20" s="160"/>
      <c r="G20" s="165" t="str">
        <f>E!C21</f>
        <v>vrlodobro</v>
      </c>
      <c r="H20" s="488" t="str">
        <f>E!D21</f>
        <v>( 4 )</v>
      </c>
      <c r="I20" s="99"/>
      <c r="J20" s="179" t="str">
        <f>IF(Upis!U21=0," ",IF(A!U21=5," ",IF(A!U21=4,"Odeljenskog star.",IF(A!U21=3,"Odeljenskog veća",IF(A!U21=2,"Direktora škole",IF(A!U21=1,"Nastavničkog veća"))))))</f>
        <v>Odeljenskog star.</v>
      </c>
      <c r="K20" s="161"/>
      <c r="L20" s="489">
        <f>IF(COUNT(A!C21:A!P21)&lt;1,0,AVERAGE(A!C21:A!P21))</f>
        <v>2.9166666666666665</v>
      </c>
      <c r="M20" s="493"/>
    </row>
    <row r="21" spans="1:13" ht="11.25" customHeight="1">
      <c r="A21" s="464">
        <v>20</v>
      </c>
      <c r="B21" s="465" t="str">
        <f>IF(A!B22=0," ",A!B22)</f>
        <v>Stojanović Jovan</v>
      </c>
      <c r="C21" s="477" t="str">
        <f>IF(B!D22=0," ",B!D22)</f>
        <v>vrlodobar</v>
      </c>
      <c r="D21" s="467">
        <f>IF(B21=" "," ",IF((B!F22&gt;0),0,IF(COUNT(A!C22:A!P22)&lt;1,0,AVERAGE(A!C22:A!N22,A!P22))))</f>
        <v>3.6666666666666665</v>
      </c>
      <c r="E21" s="478">
        <f>IF(SUM(IF(A!C22=1,1)+IF(A!D22=1,1)+IF(A!E22=1,1)+IF(A!F22=1,1)+IF(A!G22=1,1)+IF(A!H22=1,1)+IF(A!I22=1,1)+IF(A!J22=1,1)+IF(A!K22=1,1)+IF(A!L22=1,1)+IF(A!M22=1,1)+IF(A!N22=1,1)+IF(A!P22=1,1))=0,"",SUM(IF(A!B22=1,1)+IF(A!C22=1,1)+IF(A!D22=1,1)+IF(A!E22=1,1)+IF(A!F22=1,1)+IF(A!G22=1,1)+IF(A!H22=1,1)+IF(A!I22=1,1)+IF(A!J22=1,1)+IF(A!K22=1,1)+IF(A!L22=1,1)+IF(A!M22=1,1)+IF(A!N22=1,1)+IF(A!P22=1,1)))</f>
      </c>
      <c r="F21" s="479"/>
      <c r="G21" s="480" t="str">
        <f>E!C22</f>
        <v>primerno</v>
      </c>
      <c r="H21" s="481" t="str">
        <f>E!D22</f>
        <v>( 5 )</v>
      </c>
      <c r="I21" s="490"/>
      <c r="J21" s="483" t="str">
        <f>IF(Upis!U22=0," ",IF(A!U22=5," ",IF(A!U22=4,"Odeljenskog star.",IF(A!U22=3,"Odeljenskog veća",IF(A!U22=2,"Direktora škole",IF(A!U22=1,"Nastavničkog veća"))))))</f>
        <v> </v>
      </c>
      <c r="K21" s="482"/>
      <c r="L21" s="484">
        <f>IF(COUNT(A!C22:A!P22)&lt;1,0,AVERAGE(A!C22:A!P22))</f>
        <v>3.769230769230769</v>
      </c>
      <c r="M21" s="493"/>
    </row>
    <row r="22" spans="1:13" ht="11.25" customHeight="1">
      <c r="A22" s="464">
        <v>21</v>
      </c>
      <c r="B22" s="491" t="str">
        <f>IF(A!B23=0," ",A!B23)</f>
        <v>Tadić Vesna</v>
      </c>
      <c r="C22" s="487" t="str">
        <f>IF(B!D23=0," ",B!D23)</f>
        <v>nedovoljan</v>
      </c>
      <c r="D22" s="467">
        <f>IF(B22=" "," ",IF((B!F23&gt;0),0,IF(COUNT(A!C23:A!P23)&lt;1,0,AVERAGE(A!C23:A!N23,A!P23))))</f>
        <v>0</v>
      </c>
      <c r="E22" s="369">
        <f>IF(SUM(IF(A!C23=1,1)+IF(A!D23=1,1)+IF(A!E23=1,1)+IF(A!F23=1,1)+IF(A!G23=1,1)+IF(A!H23=1,1)+IF(A!I23=1,1)+IF(A!J23=1,1)+IF(A!K23=1,1)+IF(A!L23=1,1)+IF(A!M23=1,1)+IF(A!N23=1,1)+IF(A!P23=1,1))=0,"",SUM(IF(A!B23=1,1)+IF(A!C23=1,1)+IF(A!D23=1,1)+IF(A!E23=1,1)+IF(A!F23=1,1)+IF(A!G23=1,1)+IF(A!H23=1,1)+IF(A!I23=1,1)+IF(A!J23=1,1)+IF(A!K23=1,1)+IF(A!L23=1,1)+IF(A!M23=1,1)+IF(A!N23=1,1)+IF(A!P23=1,1)))</f>
        <v>3</v>
      </c>
      <c r="F22" s="160"/>
      <c r="G22" s="165" t="str">
        <f>E!C23</f>
        <v>primerno</v>
      </c>
      <c r="H22" s="488" t="str">
        <f>E!D23</f>
        <v>( 5 )</v>
      </c>
      <c r="I22" s="147"/>
      <c r="J22" s="179" t="str">
        <f>IF(Upis!U23=0," ",IF(A!U23=5," ",IF(A!U23=4,"Odeljenskog star.",IF(A!U23=3,"Odeljenskog veća",IF(A!U23=2,"Direktora škole",IF(A!U23=1,"Nastavničkog veća"))))))</f>
        <v> </v>
      </c>
      <c r="K22" s="161"/>
      <c r="L22" s="489">
        <f>IF(COUNT(A!C23:A!P23)&lt;1,0,AVERAGE(A!C23:A!P23))</f>
        <v>2.923076923076923</v>
      </c>
      <c r="M22" s="493"/>
    </row>
    <row r="23" spans="1:13" ht="11.25" customHeight="1">
      <c r="A23" s="464">
        <v>22</v>
      </c>
      <c r="B23" s="465" t="str">
        <f>IF(A!B24=0," ",A!B24)</f>
        <v>Misailović Jovana</v>
      </c>
      <c r="C23" s="477" t="str">
        <f>IF(B!D24=0," ",B!D24)</f>
        <v>vrlodobar</v>
      </c>
      <c r="D23" s="467">
        <f>IF(B23=" "," ",IF((B!F24&gt;0),0,IF(COUNT(A!C24:A!P24)&lt;1,0,AVERAGE(A!C24:A!N24,A!P24))))</f>
        <v>3.923076923076923</v>
      </c>
      <c r="E23" s="478">
        <f>IF(SUM(IF(A!C24=1,1)+IF(A!D24=1,1)+IF(A!E24=1,1)+IF(A!F24=1,1)+IF(A!G24=1,1)+IF(A!H24=1,1)+IF(A!I24=1,1)+IF(A!J24=1,1)+IF(A!K24=1,1)+IF(A!L24=1,1)+IF(A!M24=1,1)+IF(A!N24=1,1)+IF(A!P24=1,1))=0,"",SUM(IF(A!B24=1,1)+IF(A!C24=1,1)+IF(A!D24=1,1)+IF(A!E24=1,1)+IF(A!F24=1,1)+IF(A!G24=1,1)+IF(A!H24=1,1)+IF(A!I24=1,1)+IF(A!J24=1,1)+IF(A!K24=1,1)+IF(A!L24=1,1)+IF(A!M24=1,1)+IF(A!N24=1,1)+IF(A!P24=1,1)))</f>
      </c>
      <c r="F23" s="479"/>
      <c r="G23" s="480" t="str">
        <f>E!C24</f>
        <v>primerno</v>
      </c>
      <c r="H23" s="481" t="str">
        <f>E!D24</f>
        <v>( 5 )</v>
      </c>
      <c r="I23" s="86"/>
      <c r="J23" s="483" t="str">
        <f>IF(Upis!U24=0," ",IF(A!U24=5," ",IF(A!U24=4,"Odeljenskog star.",IF(A!U24=3,"Odeljenskog veća",IF(A!U24=2,"Direktora škole",IF(A!U24=1,"Nastavničkog veća"))))))</f>
        <v> </v>
      </c>
      <c r="K23" s="482"/>
      <c r="L23" s="484">
        <f>IF(COUNT(A!C24:A!P24)&lt;1,0,AVERAGE(A!C24:A!P24))</f>
        <v>3.923076923076923</v>
      </c>
      <c r="M23" s="493"/>
    </row>
    <row r="24" spans="1:13" ht="11.25" customHeight="1">
      <c r="A24" s="464">
        <v>23</v>
      </c>
      <c r="B24" s="491" t="str">
        <f>IF(A!B25=0," ",A!B25)</f>
        <v> </v>
      </c>
      <c r="C24" s="487">
        <f>IF(B!D25=0," ",B!D25)</f>
      </c>
      <c r="D24" s="467" t="str">
        <f>IF(B24=" "," ",IF((B!F25&gt;0),0,IF(COUNT(A!C25:A!P25)&lt;1,0,AVERAGE(A!C25:A!N25,A!P25))))</f>
        <v> </v>
      </c>
      <c r="E24" s="369">
        <f>IF(SUM(IF(A!C25=1,1)+IF(A!D25=1,1)+IF(A!E25=1,1)+IF(A!F25=1,1)+IF(A!G25=1,1)+IF(A!H25=1,1)+IF(A!I25=1,1)+IF(A!J25=1,1)+IF(A!K25=1,1)+IF(A!L25=1,1)+IF(A!M25=1,1)+IF(A!N25=1,1)+IF(A!P25=1,1))=0,"",SUM(IF(A!B25=1,1)+IF(A!C25=1,1)+IF(A!D25=1,1)+IF(A!E25=1,1)+IF(A!F25=1,1)+IF(A!G25=1,1)+IF(A!H25=1,1)+IF(A!I25=1,1)+IF(A!J25=1,1)+IF(A!K25=1,1)+IF(A!L25=1,1)+IF(A!M25=1,1)+IF(A!N25=1,1)+IF(A!P25=1,1)))</f>
      </c>
      <c r="F24" s="160"/>
      <c r="G24" s="165">
        <f>E!C25</f>
      </c>
      <c r="H24" s="488">
        <f>E!D25</f>
      </c>
      <c r="I24" s="99"/>
      <c r="J24" s="179" t="str">
        <f>IF(Upis!U25=0," ",IF(A!U25=5," ",IF(A!U25=4,"Odeljenskog star.",IF(A!U25=3,"Odeljenskog veća",IF(A!U25=2,"Direktora škole",IF(A!U25=1,"Nastavničkog veća"))))))</f>
        <v> </v>
      </c>
      <c r="K24" s="161"/>
      <c r="L24" s="489">
        <f>IF(COUNT(A!C25:A!P25)&lt;1,0,AVERAGE(A!C25:A!P25))</f>
        <v>0</v>
      </c>
      <c r="M24" s="493"/>
    </row>
    <row r="25" spans="1:13" ht="11.25" customHeight="1">
      <c r="A25" s="464">
        <v>24</v>
      </c>
      <c r="B25" s="465" t="str">
        <f>IF(A!B26=0," ",A!B26)</f>
        <v> </v>
      </c>
      <c r="C25" s="477">
        <f>IF(B!D26=0," ",B!D26)</f>
      </c>
      <c r="D25" s="467" t="str">
        <f>IF(B25=" "," ",IF((B!F26&gt;0),0,IF(COUNT(A!C26:A!P26)&lt;1,0,AVERAGE(A!C26:A!N26,A!P26))))</f>
        <v> </v>
      </c>
      <c r="E25" s="478">
        <f>IF(SUM(IF(A!C26=1,1)+IF(A!D26=1,1)+IF(A!E26=1,1)+IF(A!F26=1,1)+IF(A!G26=1,1)+IF(A!H26=1,1)+IF(A!I26=1,1)+IF(A!J26=1,1)+IF(A!K26=1,1)+IF(A!L26=1,1)+IF(A!M26=1,1)+IF(A!N26=1,1)+IF(A!P26=1,1))=0,"",SUM(IF(A!B26=1,1)+IF(A!C26=1,1)+IF(A!D26=1,1)+IF(A!E26=1,1)+IF(A!F26=1,1)+IF(A!G26=1,1)+IF(A!H26=1,1)+IF(A!I26=1,1)+IF(A!J26=1,1)+IF(A!K26=1,1)+IF(A!L26=1,1)+IF(A!M26=1,1)+IF(A!N26=1,1)+IF(A!P26=1,1)))</f>
      </c>
      <c r="F25" s="479"/>
      <c r="G25" s="480">
        <f>E!C26</f>
      </c>
      <c r="H25" s="481">
        <f>E!D26</f>
      </c>
      <c r="I25" s="490"/>
      <c r="J25" s="483" t="str">
        <f>IF(Upis!U26=0," ",IF(A!U26=5," ",IF(A!U26=4,"Odeljenskog star.",IF(A!U26=3,"Odeljenskog veća",IF(A!U26=2,"Direktora škole",IF(A!U26=1,"Nastavničkog veća"))))))</f>
        <v> </v>
      </c>
      <c r="K25" s="482"/>
      <c r="L25" s="484">
        <f>IF(COUNT(A!C26:A!P26)&lt;1,0,AVERAGE(A!C26:A!P26))</f>
        <v>0</v>
      </c>
      <c r="M25" s="493"/>
    </row>
    <row r="26" spans="1:13" ht="11.25" customHeight="1">
      <c r="A26" s="464">
        <v>25</v>
      </c>
      <c r="B26" s="491" t="str">
        <f>IF(A!B27=0," ",A!B27)</f>
        <v> </v>
      </c>
      <c r="C26" s="487">
        <f>IF(B!D27=0," ",B!D27)</f>
      </c>
      <c r="D26" s="467" t="str">
        <f>IF(B26=" "," ",IF((B!F27&gt;0),0,IF(COUNT(A!C27:A!P27)&lt;1,0,AVERAGE(A!C27:A!N27,A!P27))))</f>
        <v> </v>
      </c>
      <c r="E26" s="369">
        <f>IF(SUM(IF(A!C27=1,1)+IF(A!D27=1,1)+IF(A!E27=1,1)+IF(A!F27=1,1)+IF(A!G27=1,1)+IF(A!H27=1,1)+IF(A!I27=1,1)+IF(A!J27=1,1)+IF(A!K27=1,1)+IF(A!L27=1,1)+IF(A!M27=1,1)+IF(A!N27=1,1)+IF(A!P27=1,1))=0,"",SUM(IF(A!B27=1,1)+IF(A!C27=1,1)+IF(A!D27=1,1)+IF(A!E27=1,1)+IF(A!F27=1,1)+IF(A!G27=1,1)+IF(A!H27=1,1)+IF(A!I27=1,1)+IF(A!J27=1,1)+IF(A!K27=1,1)+IF(A!L27=1,1)+IF(A!M27=1,1)+IF(A!N27=1,1)+IF(A!P27=1,1)))</f>
      </c>
      <c r="F26" s="160"/>
      <c r="G26" s="165">
        <f>E!C27</f>
      </c>
      <c r="H26" s="488">
        <f>E!D27</f>
      </c>
      <c r="I26" s="113"/>
      <c r="J26" s="179" t="str">
        <f>IF(Upis!U27=0," ",IF(A!U27=5," ",IF(A!U27=4,"Odeljenskog star.",IF(A!U27=3,"Odeljenskog veća",IF(A!U27=2,"Direktora škole",IF(A!U27=1,"Nastavničkog veća"))))))</f>
        <v> </v>
      </c>
      <c r="K26" s="161"/>
      <c r="L26" s="489">
        <f>IF(COUNT(A!C27:A!P27)&lt;1,0,AVERAGE(A!C27:A!P27))</f>
        <v>0</v>
      </c>
      <c r="M26" s="493"/>
    </row>
    <row r="27" spans="1:13" ht="11.25" customHeight="1">
      <c r="A27" s="464">
        <v>26</v>
      </c>
      <c r="B27" s="465" t="str">
        <f>IF(A!B28=0," ",A!B28)</f>
        <v> </v>
      </c>
      <c r="C27" s="477">
        <f>IF(B!D28=0," ",B!D28)</f>
      </c>
      <c r="D27" s="467" t="str">
        <f>IF(B27=" "," ",IF((B!F28&gt;0),0,IF(COUNT(A!C28:A!P28)&lt;1,0,AVERAGE(A!C28:A!N28,A!P28))))</f>
        <v> </v>
      </c>
      <c r="E27" s="478">
        <f>IF(SUM(IF(A!C28=1,1)+IF(A!D28=1,1)+IF(A!E28=1,1)+IF(A!F28=1,1)+IF(A!G28=1,1)+IF(A!H28=1,1)+IF(A!I28=1,1)+IF(A!J28=1,1)+IF(A!K28=1,1)+IF(A!L28=1,1)+IF(A!M28=1,1)+IF(A!N28=1,1)+IF(A!P28=1,1))=0,"",SUM(IF(A!B28=1,1)+IF(A!C28=1,1)+IF(A!D28=1,1)+IF(A!E28=1,1)+IF(A!F28=1,1)+IF(A!G28=1,1)+IF(A!H28=1,1)+IF(A!I28=1,1)+IF(A!J28=1,1)+IF(A!K28=1,1)+IF(A!L28=1,1)+IF(A!M28=1,1)+IF(A!N28=1,1)+IF(A!P28=1,1)))</f>
      </c>
      <c r="F27" s="479"/>
      <c r="G27" s="480">
        <f>E!C28</f>
      </c>
      <c r="H27" s="481">
        <f>E!D28</f>
      </c>
      <c r="I27" s="490"/>
      <c r="J27" s="483" t="str">
        <f>IF(Upis!U28=0," ",IF(A!U28=5," ",IF(A!U28=4,"Odeljenskog star.",IF(A!U28=3,"Odeljenskog veća",IF(A!U28=2,"Direktora škole",IF(A!U28=1,"Nastavničkog veća"))))))</f>
        <v> </v>
      </c>
      <c r="K27" s="482"/>
      <c r="L27" s="484">
        <f>IF(COUNT(A!C28:A!P28)&lt;1,0,AVERAGE(A!C28:A!P28))</f>
        <v>0</v>
      </c>
      <c r="M27" s="493"/>
    </row>
    <row r="28" spans="1:13" ht="11.25" customHeight="1">
      <c r="A28" s="464">
        <v>27</v>
      </c>
      <c r="B28" s="491" t="str">
        <f>IF(A!B29=0," ",A!B29)</f>
        <v> </v>
      </c>
      <c r="C28" s="487">
        <f>IF(B!D29=0," ",B!D29)</f>
      </c>
      <c r="D28" s="467" t="str">
        <f>IF(B28=" "," ",IF((B!F29&gt;0),0,IF(COUNT(A!C29:A!P29)&lt;1,0,AVERAGE(A!C29:A!N29,A!P29))))</f>
        <v> </v>
      </c>
      <c r="E28" s="369">
        <f>IF(SUM(IF(A!C29=1,1)+IF(A!D29=1,1)+IF(A!E29=1,1)+IF(A!F29=1,1)+IF(A!G29=1,1)+IF(A!H29=1,1)+IF(A!I29=1,1)+IF(A!J29=1,1)+IF(A!K29=1,1)+IF(A!L29=1,1)+IF(A!M29=1,1)+IF(A!N29=1,1)+IF(A!P29=1,1))=0,"",SUM(IF(A!B29=1,1)+IF(A!C29=1,1)+IF(A!D29=1,1)+IF(A!E29=1,1)+IF(A!F29=1,1)+IF(A!G29=1,1)+IF(A!H29=1,1)+IF(A!I29=1,1)+IF(A!J29=1,1)+IF(A!K29=1,1)+IF(A!L29=1,1)+IF(A!M29=1,1)+IF(A!N29=1,1)+IF(A!P29=1,1)))</f>
      </c>
      <c r="F28" s="160"/>
      <c r="G28" s="165">
        <f>E!C29</f>
      </c>
      <c r="H28" s="488">
        <f>E!D29</f>
      </c>
      <c r="I28" s="99"/>
      <c r="J28" s="179" t="str">
        <f>IF(Upis!U29=0," ",IF(A!U29=5," ",IF(A!U29=4,"Odeljenskog star.",IF(A!U29=3,"Odeljenskog veća",IF(A!U29=2,"Direktora škole",IF(A!U29=1,"Nastavničkog veća"))))))</f>
        <v> </v>
      </c>
      <c r="K28" s="161"/>
      <c r="L28" s="489">
        <f>IF(COUNT(A!C29:A!P29)&lt;1,0,AVERAGE(A!C29:A!P29))</f>
        <v>0</v>
      </c>
      <c r="M28" s="493"/>
    </row>
    <row r="29" spans="1:13" ht="11.25" customHeight="1">
      <c r="A29" s="464">
        <v>28</v>
      </c>
      <c r="B29" s="465" t="str">
        <f>IF(A!B30=0," ",A!B30)</f>
        <v> </v>
      </c>
      <c r="C29" s="477">
        <f>IF(B!D30=0," ",B!D30)</f>
      </c>
      <c r="D29" s="467" t="str">
        <f>IF(B29=" "," ",IF((B!F30&gt;0),0,IF(COUNT(A!C30:A!P30)&lt;1,0,AVERAGE(A!C30:A!N30,A!P30))))</f>
        <v> </v>
      </c>
      <c r="E29" s="478">
        <f>IF(SUM(IF(A!C30=1,1)+IF(A!D30=1,1)+IF(A!E30=1,1)+IF(A!F30=1,1)+IF(A!G30=1,1)+IF(A!H30=1,1)+IF(A!I30=1,1)+IF(A!J30=1,1)+IF(A!K30=1,1)+IF(A!L30=1,1)+IF(A!M30=1,1)+IF(A!N30=1,1)+IF(A!P30=1,1))=0,"",SUM(IF(A!B30=1,1)+IF(A!C30=1,1)+IF(A!D30=1,1)+IF(A!E30=1,1)+IF(A!F30=1,1)+IF(A!G30=1,1)+IF(A!H30=1,1)+IF(A!I30=1,1)+IF(A!J30=1,1)+IF(A!K30=1,1)+IF(A!L30=1,1)+IF(A!M30=1,1)+IF(A!N30=1,1)+IF(A!P30=1,1)))</f>
      </c>
      <c r="F29" s="479"/>
      <c r="G29" s="480">
        <f>E!C30</f>
      </c>
      <c r="H29" s="481">
        <f>E!D30</f>
      </c>
      <c r="I29" s="490"/>
      <c r="J29" s="483" t="str">
        <f>IF(Upis!U30=0," ",IF(A!U30=5," ",IF(A!U30=4,"Odeljenskog star.",IF(A!U30=3,"Odeljenskog veća",IF(A!U30=2,"Direktora škole",IF(A!U30=1,"Nastavničkog veća"))))))</f>
        <v> </v>
      </c>
      <c r="K29" s="482"/>
      <c r="L29" s="484">
        <f>IF(COUNT(A!C30:A!P30)&lt;1,0,AVERAGE(A!C30:A!P30))</f>
        <v>0</v>
      </c>
      <c r="M29" s="493"/>
    </row>
    <row r="30" spans="1:13" ht="11.25" customHeight="1">
      <c r="A30" s="464">
        <v>29</v>
      </c>
      <c r="B30" s="491" t="str">
        <f>IF(A!B31=0," ",A!B31)</f>
        <v> </v>
      </c>
      <c r="C30" s="487">
        <f>IF(B!D31=0," ",B!D31)</f>
      </c>
      <c r="D30" s="467" t="str">
        <f>IF(B30=" "," ",IF((B!F31&gt;0),0,IF(COUNT(A!C31:A!P31)&lt;1,0,AVERAGE(A!C31:A!N31,A!P31))))</f>
        <v> </v>
      </c>
      <c r="E30" s="369">
        <f>IF(SUM(IF(A!C31=1,1)+IF(A!D31=1,1)+IF(A!E31=1,1)+IF(A!F31=1,1)+IF(A!G31=1,1)+IF(A!H31=1,1)+IF(A!I31=1,1)+IF(A!J31=1,1)+IF(A!K31=1,1)+IF(A!L31=1,1)+IF(A!M31=1,1)+IF(A!N31=1,1)+IF(A!P31=1,1))=0,"",SUM(IF(A!B31=1,1)+IF(A!C31=1,1)+IF(A!D31=1,1)+IF(A!E31=1,1)+IF(A!F31=1,1)+IF(A!G31=1,1)+IF(A!H31=1,1)+IF(A!I31=1,1)+IF(A!J31=1,1)+IF(A!K31=1,1)+IF(A!L31=1,1)+IF(A!M31=1,1)+IF(A!N31=1,1)+IF(A!P31=1,1)))</f>
      </c>
      <c r="F30" s="160"/>
      <c r="G30" s="165">
        <f>E!C31</f>
      </c>
      <c r="H30" s="488">
        <f>E!D31</f>
      </c>
      <c r="I30" s="147"/>
      <c r="J30" s="179" t="str">
        <f>IF(Upis!U31=0," ",IF(A!U31=5," ",IF(A!U31=4,"Odeljenskog star.",IF(A!U31=3,"Odeljenskog veća",IF(A!U31=2,"Direktora škole",IF(A!U31=1,"Nastavničkog veća"))))))</f>
        <v> </v>
      </c>
      <c r="K30" s="161"/>
      <c r="L30" s="489">
        <f>IF(COUNT(A!C31:A!P31)&lt;1,0,AVERAGE(A!C31:A!P31))</f>
        <v>0</v>
      </c>
      <c r="M30" s="486"/>
    </row>
    <row r="31" spans="1:13" ht="11.25" customHeight="1">
      <c r="A31" s="464">
        <v>30</v>
      </c>
      <c r="B31" s="465" t="str">
        <f>IF(A!B32=0," ",A!B32)</f>
        <v> </v>
      </c>
      <c r="C31" s="477">
        <f>IF(B!D32=0," ",B!D32)</f>
      </c>
      <c r="D31" s="467" t="str">
        <f>IF(B31=" "," ",IF((B!F32&gt;0),0,IF(COUNT(A!C32:A!P32)&lt;1,0,AVERAGE(A!C32:A!N32,A!P32))))</f>
        <v> </v>
      </c>
      <c r="E31" s="478">
        <f>IF(SUM(IF(A!C32=1,1)+IF(A!D32=1,1)+IF(A!E32=1,1)+IF(A!F32=1,1)+IF(A!G32=1,1)+IF(A!H32=1,1)+IF(A!I32=1,1)+IF(A!J32=1,1)+IF(A!K32=1,1)+IF(A!L32=1,1)+IF(A!M32=1,1)+IF(A!N32=1,1)+IF(A!P32=1,1))=0,"",SUM(IF(A!B32=1,1)+IF(A!C32=1,1)+IF(A!D32=1,1)+IF(A!E32=1,1)+IF(A!F32=1,1)+IF(A!G32=1,1)+IF(A!H32=1,1)+IF(A!I32=1,1)+IF(A!J32=1,1)+IF(A!K32=1,1)+IF(A!L32=1,1)+IF(A!M32=1,1)+IF(A!N32=1,1)+IF(A!P32=1,1)))</f>
      </c>
      <c r="F31" s="479"/>
      <c r="G31" s="480">
        <f>E!C32</f>
      </c>
      <c r="H31" s="481">
        <f>E!D32</f>
      </c>
      <c r="I31" s="490"/>
      <c r="J31" s="483" t="str">
        <f>IF(Upis!U32=0," ",IF(A!U32=5," ",IF(A!U32=4,"Odeljenskog star.",IF(A!U32=3,"Odeljenskog veća",IF(A!U32=2,"Direktora škole",IF(A!U32=1,"Nastavničkog veća"))))))</f>
        <v> </v>
      </c>
      <c r="K31" s="482"/>
      <c r="L31" s="484">
        <f>IF(COUNT(A!C32:A!P32)&lt;1,0,AVERAGE(A!C32:A!P32))</f>
        <v>0</v>
      </c>
      <c r="M31" s="486"/>
    </row>
    <row r="32" spans="1:13" ht="11.25" customHeight="1">
      <c r="A32" s="464">
        <v>31</v>
      </c>
      <c r="B32" s="491" t="str">
        <f>IF(A!B33=0," ",A!B33)</f>
        <v> </v>
      </c>
      <c r="C32" s="487">
        <f>IF(B!D33=0," ",B!D33)</f>
      </c>
      <c r="D32" s="467" t="str">
        <f>IF(B32=" "," ",IF((B!F33&gt;0),0,IF(COUNT(A!C33:A!P33)&lt;1,0,AVERAGE(A!C33:A!N33,A!P33))))</f>
        <v> </v>
      </c>
      <c r="E32" s="369">
        <f>IF(SUM(IF(A!C33=1,1)+IF(A!D33=1,1)+IF(A!E33=1,1)+IF(A!F33=1,1)+IF(A!G33=1,1)+IF(A!H33=1,1)+IF(A!I33=1,1)+IF(A!J33=1,1)+IF(A!K33=1,1)+IF(A!L33=1,1)+IF(A!M33=1,1)+IF(A!N33=1,1)+IF(A!P33=1,1))=0,"",SUM(IF(A!B33=1,1)+IF(A!C33=1,1)+IF(A!D33=1,1)+IF(A!E33=1,1)+IF(A!F33=1,1)+IF(A!G33=1,1)+IF(A!H33=1,1)+IF(A!I33=1,1)+IF(A!J33=1,1)+IF(A!K33=1,1)+IF(A!L33=1,1)+IF(A!M33=1,1)+IF(A!N33=1,1)+IF(A!P33=1,1)))</f>
      </c>
      <c r="F32" s="160"/>
      <c r="G32" s="165">
        <f>E!C33</f>
      </c>
      <c r="H32" s="488">
        <f>E!D33</f>
      </c>
      <c r="I32" s="113"/>
      <c r="J32" s="179" t="str">
        <f>IF(Upis!U33=0," ",IF(A!U33=5," ",IF(A!U33=4,"Odeljenskog star.",IF(A!U33=3,"Odeljenskog veća",IF(A!U33=2,"Direktora škole",IF(A!U33=1,"Nastavničkog veća"))))))</f>
        <v> </v>
      </c>
      <c r="K32" s="161"/>
      <c r="L32" s="489">
        <f>IF(COUNT(A!C33:A!P33)&lt;1,0,AVERAGE(A!C33:A!P33))</f>
        <v>0</v>
      </c>
      <c r="M32" s="486"/>
    </row>
    <row r="33" spans="1:13" ht="11.25" customHeight="1">
      <c r="A33" s="464">
        <v>32</v>
      </c>
      <c r="B33" s="465" t="str">
        <f>IF(A!B34=0," ",A!B34)</f>
        <v> </v>
      </c>
      <c r="C33" s="477">
        <f>IF(B!D34=0," ",B!D34)</f>
      </c>
      <c r="D33" s="467" t="str">
        <f>IF(B33=" "," ",IF((B!F34&gt;0),0,IF(COUNT(A!C34:A!P34)&lt;1,0,AVERAGE(A!C34:A!N34,A!P34))))</f>
        <v> </v>
      </c>
      <c r="E33" s="478">
        <f>IF(SUM(IF(A!C34=1,1)+IF(A!D34=1,1)+IF(A!E34=1,1)+IF(A!F34=1,1)+IF(A!G34=1,1)+IF(A!H34=1,1)+IF(A!I34=1,1)+IF(A!J34=1,1)+IF(A!K34=1,1)+IF(A!L34=1,1)+IF(A!M34=1,1)+IF(A!N34=1,1)+IF(A!P34=1,1))=0,"",SUM(IF(A!B34=1,1)+IF(A!C34=1,1)+IF(A!D34=1,1)+IF(A!E34=1,1)+IF(A!F34=1,1)+IF(A!G34=1,1)+IF(A!H34=1,1)+IF(A!I34=1,1)+IF(A!J34=1,1)+IF(A!K34=1,1)+IF(A!L34=1,1)+IF(A!M34=1,1)+IF(A!N34=1,1)+IF(A!P34=1,1)))</f>
      </c>
      <c r="F33" s="479"/>
      <c r="G33" s="480">
        <f>E!C34</f>
      </c>
      <c r="H33" s="481">
        <f>E!D34</f>
      </c>
      <c r="I33" s="485"/>
      <c r="J33" s="483" t="str">
        <f>IF(Upis!U34=0," ",IF(A!U34=5," ",IF(A!U34=4,"Odeljenskog star.",IF(A!U34=3,"Odeljenskog veća",IF(A!U34=2,"Direktora škole",IF(A!U34=1,"Nastavničkog veća"))))))</f>
        <v> </v>
      </c>
      <c r="K33" s="482"/>
      <c r="L33" s="484">
        <f>IF(COUNT(A!C34:A!P34)&lt;1,0,AVERAGE(A!C34:A!P34))</f>
        <v>0</v>
      </c>
      <c r="M33" s="486"/>
    </row>
    <row r="34" spans="1:13" ht="11.25" customHeight="1">
      <c r="A34" s="464">
        <v>33</v>
      </c>
      <c r="B34" s="491" t="str">
        <f>IF(A!B35=0," ",A!B35)</f>
        <v> </v>
      </c>
      <c r="C34" s="487">
        <f>IF(B!D35=0," ",B!D35)</f>
      </c>
      <c r="D34" s="467" t="str">
        <f>IF(B34=" "," ",IF((B!F35&gt;0),0,IF(COUNT(A!C35:A!P35)&lt;1,0,AVERAGE(A!C35:A!N35,A!P35))))</f>
        <v> </v>
      </c>
      <c r="E34" s="369">
        <f>IF(SUM(IF(A!C35=1,1)+IF(A!D35=1,1)+IF(A!E35=1,1)+IF(A!F35=1,1)+IF(A!G35=1,1)+IF(A!H35=1,1)+IF(A!I35=1,1)+IF(A!J35=1,1)+IF(A!K35=1,1)+IF(A!L35=1,1)+IF(A!M35=1,1)+IF(A!N35=1,1)+IF(A!P35=1,1))=0,"",SUM(IF(A!B35=1,1)+IF(A!C35=1,1)+IF(A!D35=1,1)+IF(A!E35=1,1)+IF(A!F35=1,1)+IF(A!G35=1,1)+IF(A!H35=1,1)+IF(A!I35=1,1)+IF(A!J35=1,1)+IF(A!K35=1,1)+IF(A!L35=1,1)+IF(A!M35=1,1)+IF(A!N35=1,1)+IF(A!P35=1,1)))</f>
      </c>
      <c r="F34" s="160"/>
      <c r="G34" s="165">
        <f>E!C35</f>
      </c>
      <c r="H34" s="488">
        <f>E!D35</f>
      </c>
      <c r="I34" s="147"/>
      <c r="J34" s="179" t="str">
        <f>IF(Upis!U35=0," ",IF(A!U35=5," ",IF(A!U35=4,"Odeljenskog star.",IF(A!U35=3,"Odeljenskog veća",IF(A!U35=2,"Direktora škole",IF(A!U35=1,"Nastavničkog veća"))))))</f>
        <v> </v>
      </c>
      <c r="K34" s="161"/>
      <c r="L34" s="489">
        <f>IF(COUNT(A!C35:A!P35)&lt;1,0,AVERAGE(A!C35:A!P35))</f>
        <v>0</v>
      </c>
      <c r="M34" s="486"/>
    </row>
    <row r="35" spans="1:13" ht="11.25" customHeight="1">
      <c r="A35" s="464">
        <v>34</v>
      </c>
      <c r="B35" s="465" t="str">
        <f>IF(A!B36=0," ",A!B36)</f>
        <v> </v>
      </c>
      <c r="C35" s="477">
        <f>IF(B!D36=0," ",B!D36)</f>
      </c>
      <c r="D35" s="467" t="str">
        <f>IF(B35=" "," ",IF((B!F36&gt;0),0,IF(COUNT(A!C36:A!P36)&lt;1,0,AVERAGE(A!C36:A!N36,A!P36))))</f>
        <v> </v>
      </c>
      <c r="E35" s="478">
        <f>IF(SUM(IF(A!C36=1,1)+IF(A!D36=1,1)+IF(A!E36=1,1)+IF(A!F36=1,1)+IF(A!G36=1,1)+IF(A!H36=1,1)+IF(A!I36=1,1)+IF(A!J36=1,1)+IF(A!K36=1,1)+IF(A!L36=1,1)+IF(A!M36=1,1)+IF(A!N36=1,1)+IF(A!P36=1,1))=0,"",SUM(IF(A!B36=1,1)+IF(A!C36=1,1)+IF(A!D36=1,1)+IF(A!E36=1,1)+IF(A!F36=1,1)+IF(A!G36=1,1)+IF(A!H36=1,1)+IF(A!I36=1,1)+IF(A!J36=1,1)+IF(A!K36=1,1)+IF(A!L36=1,1)+IF(A!M36=1,1)+IF(A!N36=1,1)+IF(A!P36=1,1)))</f>
      </c>
      <c r="F35" s="479"/>
      <c r="G35" s="480">
        <f>E!C36</f>
      </c>
      <c r="H35" s="481">
        <f>E!D36</f>
      </c>
      <c r="I35" s="490"/>
      <c r="J35" s="483" t="str">
        <f>IF(Upis!U36=0," ",IF(A!U36=5," ",IF(A!U36=4,"Odeljenskog star.",IF(A!U36=3,"Odeljenskog veća",IF(A!U36=2,"Direktora škole",IF(A!U36=1,"Nastavničkog veća"))))))</f>
        <v> </v>
      </c>
      <c r="K35" s="482"/>
      <c r="L35" s="484">
        <f>IF(COUNT(A!C36:A!P36)&lt;1,0,AVERAGE(A!C36:A!P36))</f>
        <v>0</v>
      </c>
      <c r="M35" s="486"/>
    </row>
    <row r="36" spans="1:13" ht="11.25" customHeight="1">
      <c r="A36" s="464">
        <v>35</v>
      </c>
      <c r="B36" s="491" t="str">
        <f>IF(A!B37=0," ",A!B37)</f>
        <v> </v>
      </c>
      <c r="C36" s="487">
        <f>IF(B!D37=0," ",B!D37)</f>
      </c>
      <c r="D36" s="467" t="str">
        <f>IF(B36=" "," ",IF((B!F37&gt;0),0,IF(COUNT(A!C37:A!P37)&lt;1,0,AVERAGE(A!C37:A!N37,A!P37))))</f>
        <v> </v>
      </c>
      <c r="E36" s="369">
        <f>IF(SUM(IF(A!C37=1,1)+IF(A!D37=1,1)+IF(A!E37=1,1)+IF(A!F37=1,1)+IF(A!G37=1,1)+IF(A!H37=1,1)+IF(A!I37=1,1)+IF(A!J37=1,1)+IF(A!K37=1,1)+IF(A!L37=1,1)+IF(A!M37=1,1)+IF(A!N37=1,1)+IF(A!P37=1,1))=0,"",SUM(IF(A!B37=1,1)+IF(A!C37=1,1)+IF(A!D37=1,1)+IF(A!E37=1,1)+IF(A!F37=1,1)+IF(A!G37=1,1)+IF(A!H37=1,1)+IF(A!I37=1,1)+IF(A!J37=1,1)+IF(A!K37=1,1)+IF(A!L37=1,1)+IF(A!M37=1,1)+IF(A!N37=1,1)+IF(A!P37=1,1)))</f>
      </c>
      <c r="F36" s="160"/>
      <c r="G36" s="165">
        <f>E!C37</f>
      </c>
      <c r="H36" s="488">
        <f>E!D37</f>
      </c>
      <c r="I36" s="99"/>
      <c r="J36" s="179" t="str">
        <f>IF(Upis!U37=0," ",IF(A!U37=5," ",IF(A!U37=4,"Odeljenskog star.",IF(A!U37=3,"Odeljenskog veća",IF(A!U37=2,"Direktora škole",IF(A!U37=1,"Nastavničkog veća"))))))</f>
        <v> </v>
      </c>
      <c r="K36" s="161"/>
      <c r="L36" s="489">
        <f>IF(COUNT(A!C37:A!P37)&lt;1,0,AVERAGE(A!C37:A!P37))</f>
        <v>0</v>
      </c>
      <c r="M36" s="486"/>
    </row>
    <row r="37" spans="1:13" ht="11.25" customHeight="1">
      <c r="A37" s="464">
        <v>36</v>
      </c>
      <c r="B37" s="465" t="str">
        <f>IF(A!B38=0," ",A!B38)</f>
        <v> </v>
      </c>
      <c r="C37" s="477">
        <f>IF(B!D38=0," ",B!D38)</f>
      </c>
      <c r="D37" s="467" t="str">
        <f>IF(B37=" "," ",IF((B!F38&gt;0),0,IF(COUNT(A!C38:A!P38)&lt;1,0,AVERAGE(A!C38:A!N38,A!P38))))</f>
        <v> </v>
      </c>
      <c r="E37" s="478">
        <f>IF(SUM(IF(A!C38=1,1)+IF(A!D38=1,1)+IF(A!E38=1,1)+IF(A!F38=1,1)+IF(A!G38=1,1)+IF(A!H38=1,1)+IF(A!I38=1,1)+IF(A!J38=1,1)+IF(A!K38=1,1)+IF(A!L38=1,1)+IF(A!M38=1,1)+IF(A!N38=1,1)+IF(A!P38=1,1))=0,"",SUM(IF(A!B38=1,1)+IF(A!C38=1,1)+IF(A!D38=1,1)+IF(A!E38=1,1)+IF(A!F38=1,1)+IF(A!G38=1,1)+IF(A!H38=1,1)+IF(A!I38=1,1)+IF(A!J38=1,1)+IF(A!K38=1,1)+IF(A!L38=1,1)+IF(A!M38=1,1)+IF(A!N38=1,1)+IF(A!P38=1,1)))</f>
      </c>
      <c r="F37" s="479"/>
      <c r="G37" s="480">
        <f>E!C38</f>
      </c>
      <c r="H37" s="481">
        <f>E!D38</f>
      </c>
      <c r="I37" s="86"/>
      <c r="J37" s="483" t="str">
        <f>IF(Upis!U38=0," ",IF(A!U38=5," ",IF(A!U38=4,"Odeljenskog star.",IF(A!U38=3,"Odeljenskog veća",IF(A!U38=2,"Direktora škole",IF(A!U38=1,"Nastavničkog veća"))))))</f>
        <v> </v>
      </c>
      <c r="K37" s="482"/>
      <c r="L37" s="484">
        <f>IF(COUNT(A!C38:A!P38)&lt;1,0,AVERAGE(A!C38:A!P38))</f>
        <v>0</v>
      </c>
      <c r="M37" s="486"/>
    </row>
    <row r="38" spans="1:13" ht="11.25" customHeight="1">
      <c r="A38" s="464">
        <v>37</v>
      </c>
      <c r="B38" s="491" t="str">
        <f>IF(A!B39=0," ",A!B39)</f>
        <v> </v>
      </c>
      <c r="C38" s="487">
        <f>IF(B!D39=0," ",B!D39)</f>
      </c>
      <c r="D38" s="467" t="str">
        <f>IF(B38=" "," ",IF((B!F39&gt;0),0,IF(COUNT(A!C39:A!P39)&lt;1,0,AVERAGE(A!C39:A!N39,A!P39))))</f>
        <v> </v>
      </c>
      <c r="E38" s="369">
        <f>IF(SUM(IF(A!C39=1,1)+IF(A!D39=1,1)+IF(A!E39=1,1)+IF(A!F39=1,1)+IF(A!G39=1,1)+IF(A!H39=1,1)+IF(A!I39=1,1)+IF(A!J39=1,1)+IF(A!K39=1,1)+IF(A!L39=1,1)+IF(A!M39=1,1)+IF(A!N39=1,1)+IF(A!P39=1,1))=0,"",SUM(IF(A!B39=1,1)+IF(A!C39=1,1)+IF(A!D39=1,1)+IF(A!E39=1,1)+IF(A!F39=1,1)+IF(A!G39=1,1)+IF(A!H39=1,1)+IF(A!I39=1,1)+IF(A!J39=1,1)+IF(A!K39=1,1)+IF(A!L39=1,1)+IF(A!M39=1,1)+IF(A!N39=1,1)+IF(A!P39=1,1)))</f>
      </c>
      <c r="F38" s="160"/>
      <c r="G38" s="165">
        <f>E!C39</f>
      </c>
      <c r="H38" s="488">
        <f>E!D39</f>
      </c>
      <c r="I38" s="99"/>
      <c r="J38" s="179" t="str">
        <f>IF(Upis!U39=0," ",IF(A!U39=5," ",IF(A!U39=4,"Odeljenskog star.",IF(A!U39=3,"Odeljenskog veća",IF(A!U39=2,"Direktora škole",IF(A!U39=1,"Nastavničkog veća"))))))</f>
        <v> </v>
      </c>
      <c r="K38" s="161"/>
      <c r="L38" s="489">
        <f>IF(COUNT(A!C39:A!P39)&lt;1,0,AVERAGE(A!C39:A!P39))</f>
        <v>0</v>
      </c>
      <c r="M38" s="486"/>
    </row>
    <row r="39" spans="1:13" ht="11.25" customHeight="1">
      <c r="A39" s="464">
        <v>38</v>
      </c>
      <c r="B39" s="465" t="str">
        <f>IF(A!B40=0," ",A!B40)</f>
        <v> </v>
      </c>
      <c r="C39" s="477">
        <f>IF(B!D40=0," ",B!D40)</f>
      </c>
      <c r="D39" s="467" t="str">
        <f>IF(B39=" "," ",IF((B!F40&gt;0),0,IF(COUNT(A!C40:A!P40)&lt;1,0,AVERAGE(A!C40:A!N40,A!P40))))</f>
        <v> </v>
      </c>
      <c r="E39" s="478">
        <f>IF(SUM(IF(A!C40=1,1)+IF(A!D40=1,1)+IF(A!E40=1,1)+IF(A!F40=1,1)+IF(A!G40=1,1)+IF(A!H40=1,1)+IF(A!I40=1,1)+IF(A!J40=1,1)+IF(A!K40=1,1)+IF(A!L40=1,1)+IF(A!M40=1,1)+IF(A!N40=1,1)+IF(A!P40=1,1))=0,"",SUM(IF(A!B40=1,1)+IF(A!C40=1,1)+IF(A!D40=1,1)+IF(A!E40=1,1)+IF(A!F40=1,1)+IF(A!G40=1,1)+IF(A!H40=1,1)+IF(A!I40=1,1)+IF(A!J40=1,1)+IF(A!K40=1,1)+IF(A!L40=1,1)+IF(A!M40=1,1)+IF(A!N40=1,1)+IF(A!P40=1,1)))</f>
      </c>
      <c r="F39" s="479"/>
      <c r="G39" s="480">
        <f>E!C40</f>
      </c>
      <c r="H39" s="481">
        <f>E!D40</f>
      </c>
      <c r="I39" s="86"/>
      <c r="J39" s="483" t="str">
        <f>IF(Upis!U40=0," ",IF(A!U40=5," ",IF(A!U40=4,"Odeljenskog star.",IF(A!U40=3,"Odeljenskog veća",IF(A!U40=2,"Direktora škole",IF(A!U40=1,"Nastavničkog veća"))))))</f>
        <v> </v>
      </c>
      <c r="K39" s="482"/>
      <c r="L39" s="484">
        <f>IF(COUNT(A!C40:A!P40)&lt;1,0,AVERAGE(A!C40:A!P40))</f>
        <v>0</v>
      </c>
      <c r="M39" s="486"/>
    </row>
    <row r="40" spans="1:13" ht="11.25" customHeight="1">
      <c r="A40" s="464">
        <v>39</v>
      </c>
      <c r="B40" s="491" t="str">
        <f>IF(A!B41=0," ",A!B41)</f>
        <v> </v>
      </c>
      <c r="C40" s="487">
        <f>IF(B!D41=0," ",B!D41)</f>
      </c>
      <c r="D40" s="467" t="str">
        <f>IF(B40=" "," ",IF((B!F41&gt;0),0,IF(COUNT(A!C41:A!P41)&lt;1,0,AVERAGE(A!C41:A!N41,A!P41))))</f>
        <v> </v>
      </c>
      <c r="E40" s="369">
        <f>IF(SUM(IF(A!C41=1,1)+IF(A!D41=1,1)+IF(A!E41=1,1)+IF(A!F41=1,1)+IF(A!G41=1,1)+IF(A!H41=1,1)+IF(A!I41=1,1)+IF(A!J41=1,1)+IF(A!K41=1,1)+IF(A!L41=1,1)+IF(A!M41=1,1)+IF(A!N41=1,1)+IF(A!P41=1,1))=0,"",SUM(IF(A!B41=1,1)+IF(A!C41=1,1)+IF(A!D41=1,1)+IF(A!E41=1,1)+IF(A!F41=1,1)+IF(A!G41=1,1)+IF(A!H41=1,1)+IF(A!I41=1,1)+IF(A!J41=1,1)+IF(A!K41=1,1)+IF(A!L41=1,1)+IF(A!M41=1,1)+IF(A!N41=1,1)+IF(A!P41=1,1)))</f>
      </c>
      <c r="F40" s="160"/>
      <c r="G40" s="165">
        <f>E!C41</f>
      </c>
      <c r="H40" s="488">
        <f>E!D41</f>
      </c>
      <c r="I40" s="99"/>
      <c r="J40" s="179" t="str">
        <f>IF(Upis!U41=0," ",IF(A!U41=5," ",IF(A!U41=4,"Odeljenskog star.",IF(A!U41=3,"Odeljenskog veća",IF(A!U41=2,"Direktora škole",IF(A!U41=1,"Nastavničkog veća"))))))</f>
        <v> </v>
      </c>
      <c r="K40" s="161"/>
      <c r="L40" s="489">
        <f>IF(COUNT(A!C41:A!P41)&lt;1,0,AVERAGE(A!C41:A!P41))</f>
        <v>0</v>
      </c>
      <c r="M40" s="486"/>
    </row>
    <row r="41" spans="1:13" ht="11.25" customHeight="1">
      <c r="A41" s="464">
        <v>40</v>
      </c>
      <c r="B41" s="465" t="str">
        <f>IF(A!B42=0," ",A!B42)</f>
        <v> </v>
      </c>
      <c r="C41" s="477">
        <f>IF(B!D42=0," ",B!D42)</f>
      </c>
      <c r="D41" s="467" t="str">
        <f>IF(B41=" "," ",IF((B!F42&gt;0),0,IF(COUNT(A!C42:A!P42)&lt;1,0,AVERAGE(A!C42:A!N42,A!P42))))</f>
        <v> </v>
      </c>
      <c r="E41" s="478">
        <f>IF(SUM(IF(A!C42=1,1)+IF(A!D42=1,1)+IF(A!E42=1,1)+IF(A!F42=1,1)+IF(A!G42=1,1)+IF(A!H42=1,1)+IF(A!I42=1,1)+IF(A!J42=1,1)+IF(A!K42=1,1)+IF(A!L42=1,1)+IF(A!M42=1,1)+IF(A!N42=1,1)+IF(A!P42=1,1))=0,"",SUM(IF(A!B42=1,1)+IF(A!C42=1,1)+IF(A!D42=1,1)+IF(A!E42=1,1)+IF(A!F42=1,1)+IF(A!G42=1,1)+IF(A!H42=1,1)+IF(A!I42=1,1)+IF(A!J42=1,1)+IF(A!K42=1,1)+IF(A!L42=1,1)+IF(A!M42=1,1)+IF(A!N42=1,1)+IF(A!P42=1,1)))</f>
      </c>
      <c r="F41" s="479"/>
      <c r="G41" s="480">
        <f>E!C42</f>
      </c>
      <c r="H41" s="481">
        <f>E!D42</f>
      </c>
      <c r="I41" s="86"/>
      <c r="J41" s="483" t="str">
        <f>IF(Upis!U42=0," ",IF(A!U42=5," ",IF(A!U42=4,"Odeljenskog star.",IF(A!U42=3,"Odeljenskog veća",IF(A!U42=2,"Direktora škole",IF(A!U42=1,"Nastavničkog veća"))))))</f>
        <v> </v>
      </c>
      <c r="K41" s="482"/>
      <c r="L41" s="484">
        <f>IF(COUNT(A!C42:A!P42)&lt;1,0,AVERAGE(A!C42:A!P42))</f>
        <v>0</v>
      </c>
      <c r="M41" s="486"/>
    </row>
    <row r="42" spans="1:13" ht="12">
      <c r="A42" s="494"/>
      <c r="B42" s="495"/>
      <c r="C42" s="495"/>
      <c r="D42" s="495"/>
      <c r="E42" s="495"/>
      <c r="F42" s="495"/>
      <c r="G42" s="495"/>
      <c r="H42" s="496"/>
      <c r="I42" s="495"/>
      <c r="J42" s="495"/>
      <c r="K42" s="495"/>
      <c r="L42" s="495"/>
      <c r="M42" s="497"/>
    </row>
    <row r="43" spans="1:2" ht="12">
      <c r="A43" s="195"/>
      <c r="B43" s="195"/>
    </row>
    <row r="44" spans="1:2" ht="12">
      <c r="A44" s="195"/>
      <c r="B44" s="195"/>
    </row>
  </sheetData>
  <printOptions horizontalCentered="1"/>
  <pageMargins left="0.5" right="0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100" workbookViewId="0" topLeftCell="A1">
      <selection activeCell="F6" sqref="A1:IV65536"/>
    </sheetView>
  </sheetViews>
  <sheetFormatPr defaultColWidth="9.140625" defaultRowHeight="12.75"/>
  <cols>
    <col min="1" max="1" width="4.28125" style="2" customWidth="1"/>
    <col min="2" max="3" width="11.7109375" style="2" customWidth="1"/>
    <col min="4" max="4" width="13.28125" style="2" customWidth="1"/>
    <col min="5" max="6" width="7.57421875" style="1" customWidth="1"/>
    <col min="7" max="15" width="7.57421875" style="2" customWidth="1"/>
    <col min="16" max="16" width="3.421875" style="2" customWidth="1"/>
    <col min="17" max="17" width="0" style="2" hidden="1" customWidth="1"/>
    <col min="18" max="18" width="0.2890625" style="2" customWidth="1"/>
    <col min="19" max="16384" width="9.00390625" style="2" customWidth="1"/>
  </cols>
  <sheetData>
    <row r="1" spans="1:16" ht="15.75" customHeight="1">
      <c r="A1" s="51" t="s">
        <v>0</v>
      </c>
      <c r="B1" s="52"/>
      <c r="C1" s="53"/>
      <c r="D1" s="54" t="s">
        <v>75</v>
      </c>
      <c r="E1" s="54"/>
      <c r="F1" s="54"/>
      <c r="G1" s="54" t="s">
        <v>76</v>
      </c>
      <c r="H1" s="55"/>
      <c r="I1" s="56"/>
      <c r="J1" s="54" t="s">
        <v>77</v>
      </c>
      <c r="K1" s="55"/>
      <c r="L1" s="56"/>
      <c r="M1" s="54" t="s">
        <v>78</v>
      </c>
      <c r="N1" s="56"/>
      <c r="O1" s="56"/>
      <c r="P1" s="57"/>
    </row>
    <row r="2" spans="1:16" ht="12.75" customHeight="1">
      <c r="A2" s="58"/>
      <c r="B2" s="59" t="s">
        <v>8</v>
      </c>
      <c r="C2" s="60"/>
      <c r="D2" s="61" t="s">
        <v>79</v>
      </c>
      <c r="E2" s="62" t="s">
        <v>80</v>
      </c>
      <c r="F2" s="62" t="s">
        <v>81</v>
      </c>
      <c r="G2" s="61" t="s">
        <v>82</v>
      </c>
      <c r="H2" s="61" t="s">
        <v>83</v>
      </c>
      <c r="I2" s="63" t="s">
        <v>84</v>
      </c>
      <c r="J2" s="61" t="s">
        <v>82</v>
      </c>
      <c r="K2" s="61" t="s">
        <v>83</v>
      </c>
      <c r="L2" s="63" t="s">
        <v>85</v>
      </c>
      <c r="M2" s="64" t="s">
        <v>82</v>
      </c>
      <c r="N2" s="64" t="s">
        <v>83</v>
      </c>
      <c r="O2" s="65" t="s">
        <v>84</v>
      </c>
      <c r="P2" s="66"/>
    </row>
    <row r="3" spans="1:16" ht="11.25" customHeight="1">
      <c r="A3" s="67">
        <f>A!A3</f>
        <v>1</v>
      </c>
      <c r="B3" s="68" t="str">
        <f>B!B3</f>
        <v>Andjelković Jelena</v>
      </c>
      <c r="C3" s="69"/>
      <c r="D3" s="70" t="str">
        <f>B!D3</f>
        <v>odlican</v>
      </c>
      <c r="E3" s="71">
        <f>B!E3</f>
        <v>5</v>
      </c>
      <c r="F3" s="72">
        <f>B!F3</f>
        <v>0</v>
      </c>
      <c r="G3" s="73">
        <f>B!G3</f>
        <v>8</v>
      </c>
      <c r="H3" s="73">
        <f>B!H3</f>
        <v>1</v>
      </c>
      <c r="I3" s="74">
        <f>B!I3</f>
        <v>9</v>
      </c>
      <c r="J3" s="73">
        <f>B!J3</f>
        <v>0</v>
      </c>
      <c r="K3" s="73">
        <f>B!K3</f>
        <v>0</v>
      </c>
      <c r="L3" s="74">
        <f>B!L3</f>
        <v>0</v>
      </c>
      <c r="M3" s="73">
        <f>B!M3</f>
        <v>8</v>
      </c>
      <c r="N3" s="73">
        <f>B!N3</f>
        <v>1</v>
      </c>
      <c r="O3" s="75">
        <f>B!O3</f>
        <v>9</v>
      </c>
      <c r="P3" s="66"/>
    </row>
    <row r="4" spans="1:16" ht="11.25" customHeight="1">
      <c r="A4" s="67">
        <f>A!A4</f>
        <v>2</v>
      </c>
      <c r="B4" s="68" t="str">
        <f>B!B4</f>
        <v>Blagojević Nenad</v>
      </c>
      <c r="C4" s="69"/>
      <c r="D4" s="76" t="str">
        <f>B!D4</f>
        <v>nedovoljan</v>
      </c>
      <c r="E4" s="77" t="str">
        <f>B!E4</f>
        <v>/\/</v>
      </c>
      <c r="F4" s="72">
        <f>B!F4</f>
        <v>3</v>
      </c>
      <c r="G4" s="72">
        <f>B!G4</f>
        <v>54</v>
      </c>
      <c r="H4" s="73">
        <f>B!H4</f>
        <v>21</v>
      </c>
      <c r="I4" s="74">
        <f>B!I4</f>
        <v>75</v>
      </c>
      <c r="J4" s="73">
        <f>B!J4</f>
        <v>0</v>
      </c>
      <c r="K4" s="73">
        <f>B!K4</f>
        <v>0</v>
      </c>
      <c r="L4" s="74">
        <f>B!L4</f>
        <v>0</v>
      </c>
      <c r="M4" s="73">
        <f>B!M4</f>
        <v>54</v>
      </c>
      <c r="N4" s="73">
        <f>B!N4</f>
        <v>21</v>
      </c>
      <c r="O4" s="75">
        <f>B!O4</f>
        <v>75</v>
      </c>
      <c r="P4" s="66"/>
    </row>
    <row r="5" spans="1:16" ht="11.25" customHeight="1">
      <c r="A5" s="67">
        <f>A!A5</f>
        <v>3</v>
      </c>
      <c r="B5" s="68" t="str">
        <f>B!B5</f>
        <v>Bosanac Ana</v>
      </c>
      <c r="C5" s="69"/>
      <c r="D5" s="76" t="str">
        <f>B!D5</f>
        <v>vrlodobar</v>
      </c>
      <c r="E5" s="77">
        <f>B!E5</f>
        <v>3.923076923076923</v>
      </c>
      <c r="F5" s="72">
        <f>B!F5</f>
        <v>0</v>
      </c>
      <c r="G5" s="72">
        <f>B!G5</f>
        <v>49</v>
      </c>
      <c r="H5" s="73">
        <f>B!H5</f>
        <v>3</v>
      </c>
      <c r="I5" s="74">
        <f>B!I5</f>
        <v>52</v>
      </c>
      <c r="J5" s="73">
        <f>B!J5</f>
        <v>0</v>
      </c>
      <c r="K5" s="73">
        <f>B!K5</f>
        <v>0</v>
      </c>
      <c r="L5" s="74">
        <f>B!L5</f>
        <v>0</v>
      </c>
      <c r="M5" s="73">
        <f>B!M5</f>
        <v>49</v>
      </c>
      <c r="N5" s="73">
        <f>B!N5</f>
        <v>3</v>
      </c>
      <c r="O5" s="75">
        <f>B!O5</f>
        <v>52</v>
      </c>
      <c r="P5" s="66"/>
    </row>
    <row r="6" spans="1:16" ht="11.25" customHeight="1">
      <c r="A6" s="67">
        <f>A!A6</f>
        <v>4</v>
      </c>
      <c r="B6" s="68" t="str">
        <f>B!B6</f>
        <v>Brković Olivera</v>
      </c>
      <c r="C6" s="69"/>
      <c r="D6" s="76" t="str">
        <f>B!D6</f>
        <v>odlican</v>
      </c>
      <c r="E6" s="77">
        <f>B!E6</f>
        <v>5</v>
      </c>
      <c r="F6" s="72">
        <f>B!F6</f>
        <v>0</v>
      </c>
      <c r="G6" s="72">
        <f>B!G6</f>
        <v>29</v>
      </c>
      <c r="H6" s="73">
        <f>B!H6</f>
        <v>0</v>
      </c>
      <c r="I6" s="74">
        <f>B!I6</f>
        <v>29</v>
      </c>
      <c r="J6" s="73">
        <f>B!J6</f>
        <v>0</v>
      </c>
      <c r="K6" s="73">
        <f>B!K6</f>
        <v>0</v>
      </c>
      <c r="L6" s="74">
        <f>B!L6</f>
        <v>0</v>
      </c>
      <c r="M6" s="73">
        <f>B!M6</f>
        <v>29</v>
      </c>
      <c r="N6" s="73">
        <f>B!N6</f>
        <v>0</v>
      </c>
      <c r="O6" s="75">
        <f>B!O6</f>
        <v>29</v>
      </c>
      <c r="P6" s="66"/>
    </row>
    <row r="7" spans="1:16" ht="11.25" customHeight="1">
      <c r="A7" s="67">
        <f>A!A7</f>
        <v>5</v>
      </c>
      <c r="B7" s="68" t="str">
        <f>B!B7</f>
        <v>Veselinović Nemanja</v>
      </c>
      <c r="C7" s="69"/>
      <c r="D7" s="76" t="str">
        <f>B!D7</f>
        <v>nedovoljan</v>
      </c>
      <c r="E7" s="77" t="str">
        <f>B!E7</f>
        <v>/\/</v>
      </c>
      <c r="F7" s="72">
        <f>B!F7</f>
        <v>2</v>
      </c>
      <c r="G7" s="72">
        <f>B!G7</f>
        <v>25</v>
      </c>
      <c r="H7" s="73">
        <f>B!H7</f>
        <v>17</v>
      </c>
      <c r="I7" s="74">
        <f>B!I7</f>
        <v>42</v>
      </c>
      <c r="J7" s="73">
        <f>B!J7</f>
        <v>0</v>
      </c>
      <c r="K7" s="73">
        <f>B!K7</f>
        <v>0</v>
      </c>
      <c r="L7" s="74">
        <f>B!L7</f>
        <v>0</v>
      </c>
      <c r="M7" s="73">
        <f>B!M7</f>
        <v>25</v>
      </c>
      <c r="N7" s="73">
        <f>B!N7</f>
        <v>17</v>
      </c>
      <c r="O7" s="75">
        <f>B!O7</f>
        <v>42</v>
      </c>
      <c r="P7" s="66"/>
    </row>
    <row r="8" spans="1:16" ht="11.25" customHeight="1">
      <c r="A8" s="67">
        <f>A!A8</f>
        <v>6</v>
      </c>
      <c r="B8" s="68" t="str">
        <f>B!B8</f>
        <v>Gligorijević Grigorije</v>
      </c>
      <c r="C8" s="69"/>
      <c r="D8" s="76" t="str">
        <f>B!D8</f>
        <v>nedovoljan</v>
      </c>
      <c r="E8" s="77" t="str">
        <f>B!E8</f>
        <v>/\/</v>
      </c>
      <c r="F8" s="72">
        <f>B!F8</f>
        <v>2</v>
      </c>
      <c r="G8" s="72">
        <f>B!G8</f>
        <v>19</v>
      </c>
      <c r="H8" s="73">
        <f>B!H8</f>
        <v>0</v>
      </c>
      <c r="I8" s="74">
        <f>B!I8</f>
        <v>19</v>
      </c>
      <c r="J8" s="73">
        <f>B!J8</f>
        <v>0</v>
      </c>
      <c r="K8" s="73">
        <f>B!K8</f>
        <v>0</v>
      </c>
      <c r="L8" s="74">
        <f>B!L8</f>
        <v>0</v>
      </c>
      <c r="M8" s="73">
        <f>B!M8</f>
        <v>19</v>
      </c>
      <c r="N8" s="73">
        <f>B!N8</f>
        <v>0</v>
      </c>
      <c r="O8" s="75">
        <f>B!O8</f>
        <v>19</v>
      </c>
      <c r="P8" s="66"/>
    </row>
    <row r="9" spans="1:16" ht="11.25" customHeight="1">
      <c r="A9" s="67">
        <f>A!A9</f>
        <v>7</v>
      </c>
      <c r="B9" s="68" t="str">
        <f>B!B9</f>
        <v>Djordjević Ivana</v>
      </c>
      <c r="C9" s="69"/>
      <c r="D9" s="76" t="str">
        <f>B!D9</f>
        <v>nedovoljan</v>
      </c>
      <c r="E9" s="77" t="str">
        <f>B!E9</f>
        <v>/\/</v>
      </c>
      <c r="F9" s="72">
        <f>B!F9</f>
        <v>1</v>
      </c>
      <c r="G9" s="72">
        <f>B!G9</f>
        <v>97</v>
      </c>
      <c r="H9" s="73">
        <f>B!H9</f>
        <v>7</v>
      </c>
      <c r="I9" s="74">
        <f>B!I9</f>
        <v>104</v>
      </c>
      <c r="J9" s="73">
        <f>B!J9</f>
        <v>0</v>
      </c>
      <c r="K9" s="73">
        <f>B!K9</f>
        <v>0</v>
      </c>
      <c r="L9" s="74">
        <f>B!L9</f>
        <v>0</v>
      </c>
      <c r="M9" s="73">
        <f>B!M9</f>
        <v>97</v>
      </c>
      <c r="N9" s="73">
        <f>B!N9</f>
        <v>7</v>
      </c>
      <c r="O9" s="75">
        <f>B!O9</f>
        <v>104</v>
      </c>
      <c r="P9" s="66"/>
    </row>
    <row r="10" spans="1:16" ht="11.25" customHeight="1">
      <c r="A10" s="67">
        <f>A!A10</f>
        <v>8</v>
      </c>
      <c r="B10" s="68" t="str">
        <f>B!B10</f>
        <v>Ivković Jelena</v>
      </c>
      <c r="C10" s="69"/>
      <c r="D10" s="76" t="str">
        <f>B!D10</f>
        <v>vrlodobar</v>
      </c>
      <c r="E10" s="77">
        <f>B!E10</f>
        <v>4.416666666666667</v>
      </c>
      <c r="F10" s="72">
        <f>B!F10</f>
        <v>0</v>
      </c>
      <c r="G10" s="72">
        <f>B!G10</f>
        <v>68</v>
      </c>
      <c r="H10" s="73">
        <f>B!H10</f>
        <v>4</v>
      </c>
      <c r="I10" s="74">
        <f>B!I10</f>
        <v>72</v>
      </c>
      <c r="J10" s="73">
        <f>B!J10</f>
        <v>0</v>
      </c>
      <c r="K10" s="73">
        <f>B!K10</f>
        <v>0</v>
      </c>
      <c r="L10" s="74">
        <f>B!L10</f>
        <v>0</v>
      </c>
      <c r="M10" s="73">
        <f>B!M10</f>
        <v>68</v>
      </c>
      <c r="N10" s="73">
        <f>B!N10</f>
        <v>4</v>
      </c>
      <c r="O10" s="75">
        <f>B!O10</f>
        <v>72</v>
      </c>
      <c r="P10" s="66"/>
    </row>
    <row r="11" spans="1:16" ht="11.25" customHeight="1">
      <c r="A11" s="67">
        <f>A!A11</f>
        <v>9</v>
      </c>
      <c r="B11" s="68" t="str">
        <f>B!B11</f>
        <v>Jelisavac Jovana</v>
      </c>
      <c r="C11" s="69"/>
      <c r="D11" s="76" t="str">
        <f>B!D11</f>
        <v>odlican</v>
      </c>
      <c r="E11" s="77">
        <f>B!E11</f>
        <v>5</v>
      </c>
      <c r="F11" s="72">
        <f>B!F11</f>
        <v>0</v>
      </c>
      <c r="G11" s="72">
        <f>B!G11</f>
        <v>60</v>
      </c>
      <c r="H11" s="73">
        <f>B!H11</f>
        <v>1</v>
      </c>
      <c r="I11" s="74">
        <f>B!I11</f>
        <v>61</v>
      </c>
      <c r="J11" s="73">
        <f>B!J11</f>
        <v>0</v>
      </c>
      <c r="K11" s="73">
        <f>B!K11</f>
        <v>0</v>
      </c>
      <c r="L11" s="74">
        <f>B!L11</f>
        <v>0</v>
      </c>
      <c r="M11" s="73">
        <f>B!M11</f>
        <v>60</v>
      </c>
      <c r="N11" s="73">
        <f>B!N11</f>
        <v>1</v>
      </c>
      <c r="O11" s="75">
        <f>B!O11</f>
        <v>61</v>
      </c>
      <c r="P11" s="66"/>
    </row>
    <row r="12" spans="1:16" ht="11.25" customHeight="1">
      <c r="A12" s="67">
        <f>A!A12</f>
        <v>10</v>
      </c>
      <c r="B12" s="68" t="str">
        <f>B!B12</f>
        <v>Knežić Filip</v>
      </c>
      <c r="C12" s="69"/>
      <c r="D12" s="76" t="str">
        <f>B!D12</f>
        <v>vrlodobar</v>
      </c>
      <c r="E12" s="77">
        <f>B!E12</f>
        <v>3.6153846153846154</v>
      </c>
      <c r="F12" s="72">
        <f>B!F12</f>
        <v>0</v>
      </c>
      <c r="G12" s="72">
        <f>B!G12</f>
        <v>55</v>
      </c>
      <c r="H12" s="73">
        <f>B!H12</f>
        <v>0</v>
      </c>
      <c r="I12" s="74">
        <f>B!I12</f>
        <v>55</v>
      </c>
      <c r="J12" s="73">
        <f>B!J12</f>
        <v>0</v>
      </c>
      <c r="K12" s="73">
        <f>B!K12</f>
        <v>0</v>
      </c>
      <c r="L12" s="74">
        <f>B!L12</f>
        <v>0</v>
      </c>
      <c r="M12" s="73">
        <f>B!M12</f>
        <v>55</v>
      </c>
      <c r="N12" s="73">
        <f>B!N12</f>
        <v>0</v>
      </c>
      <c r="O12" s="75">
        <f>B!O12</f>
        <v>55</v>
      </c>
      <c r="P12" s="66"/>
    </row>
    <row r="13" spans="1:16" ht="11.25" customHeight="1">
      <c r="A13" s="67">
        <f>A!A13</f>
        <v>11</v>
      </c>
      <c r="B13" s="68" t="str">
        <f>B!B13</f>
        <v>Lazarević Milena</v>
      </c>
      <c r="C13" s="69"/>
      <c r="D13" s="76" t="str">
        <f>B!D13</f>
        <v>nedovoljan</v>
      </c>
      <c r="E13" s="77" t="str">
        <f>B!E13</f>
        <v>/\/</v>
      </c>
      <c r="F13" s="72">
        <f>B!F13</f>
        <v>2</v>
      </c>
      <c r="G13" s="72">
        <f>B!G13</f>
        <v>30</v>
      </c>
      <c r="H13" s="73">
        <f>B!H13</f>
        <v>13</v>
      </c>
      <c r="I13" s="74">
        <f>B!I13</f>
        <v>43</v>
      </c>
      <c r="J13" s="73">
        <f>B!J13</f>
        <v>0</v>
      </c>
      <c r="K13" s="73">
        <f>B!K13</f>
        <v>0</v>
      </c>
      <c r="L13" s="74">
        <f>B!L13</f>
        <v>0</v>
      </c>
      <c r="M13" s="73">
        <f>B!M13</f>
        <v>30</v>
      </c>
      <c r="N13" s="73">
        <f>B!N13</f>
        <v>13</v>
      </c>
      <c r="O13" s="75">
        <f>B!O13</f>
        <v>43</v>
      </c>
      <c r="P13" s="66"/>
    </row>
    <row r="14" spans="1:16" ht="11.25" customHeight="1">
      <c r="A14" s="67">
        <f>A!A14</f>
        <v>12</v>
      </c>
      <c r="B14" s="68" t="str">
        <f>B!B14</f>
        <v>Masleša Marija</v>
      </c>
      <c r="C14" s="69"/>
      <c r="D14" s="76" t="str">
        <f>B!D14</f>
        <v>odlican</v>
      </c>
      <c r="E14" s="77">
        <f>B!E14</f>
        <v>4.923076923076923</v>
      </c>
      <c r="F14" s="72">
        <f>B!F14</f>
        <v>0</v>
      </c>
      <c r="G14" s="72">
        <f>B!G14</f>
        <v>50</v>
      </c>
      <c r="H14" s="73">
        <f>B!H14</f>
        <v>4</v>
      </c>
      <c r="I14" s="74">
        <f>B!I14</f>
        <v>54</v>
      </c>
      <c r="J14" s="73">
        <f>B!J14</f>
        <v>0</v>
      </c>
      <c r="K14" s="73">
        <f>B!K14</f>
        <v>0</v>
      </c>
      <c r="L14" s="74">
        <f>B!L14</f>
        <v>0</v>
      </c>
      <c r="M14" s="73">
        <f>B!M14</f>
        <v>50</v>
      </c>
      <c r="N14" s="73">
        <f>B!N14</f>
        <v>4</v>
      </c>
      <c r="O14" s="75">
        <f>B!O14</f>
        <v>54</v>
      </c>
      <c r="P14" s="66"/>
    </row>
    <row r="15" spans="1:16" ht="11.25" customHeight="1">
      <c r="A15" s="67">
        <f>A!A15</f>
        <v>13</v>
      </c>
      <c r="B15" s="68" t="str">
        <f>B!B15</f>
        <v>Mijajlović Marko</v>
      </c>
      <c r="C15" s="69"/>
      <c r="D15" s="76" t="str">
        <f>B!D15</f>
        <v>vrlodobar</v>
      </c>
      <c r="E15" s="77">
        <f>B!E15</f>
        <v>4.333333333333333</v>
      </c>
      <c r="F15" s="72">
        <f>B!F15</f>
        <v>0</v>
      </c>
      <c r="G15" s="72">
        <f>B!G15</f>
        <v>27</v>
      </c>
      <c r="H15" s="73">
        <f>B!H15</f>
        <v>0</v>
      </c>
      <c r="I15" s="74">
        <f>B!I15</f>
        <v>27</v>
      </c>
      <c r="J15" s="73">
        <f>B!J15</f>
        <v>0</v>
      </c>
      <c r="K15" s="73">
        <f>B!K15</f>
        <v>0</v>
      </c>
      <c r="L15" s="74">
        <f>B!L15</f>
        <v>0</v>
      </c>
      <c r="M15" s="73">
        <f>B!M15</f>
        <v>27</v>
      </c>
      <c r="N15" s="73">
        <f>B!N15</f>
        <v>0</v>
      </c>
      <c r="O15" s="75">
        <f>B!O15</f>
        <v>27</v>
      </c>
      <c r="P15" s="66"/>
    </row>
    <row r="16" spans="1:16" ht="11.25" customHeight="1">
      <c r="A16" s="67">
        <f>A!A16</f>
        <v>14</v>
      </c>
      <c r="B16" s="68" t="str">
        <f>B!B16</f>
        <v>Milanović Sara</v>
      </c>
      <c r="C16" s="69"/>
      <c r="D16" s="76" t="str">
        <f>B!D16</f>
        <v>vrlodobar</v>
      </c>
      <c r="E16" s="77">
        <f>B!E16</f>
        <v>4.333333333333333</v>
      </c>
      <c r="F16" s="72">
        <f>B!F16</f>
        <v>0</v>
      </c>
      <c r="G16" s="72">
        <f>B!G16</f>
        <v>50</v>
      </c>
      <c r="H16" s="73">
        <f>B!H16</f>
        <v>5</v>
      </c>
      <c r="I16" s="74">
        <f>B!I16</f>
        <v>55</v>
      </c>
      <c r="J16" s="73">
        <f>B!J16</f>
        <v>0</v>
      </c>
      <c r="K16" s="73">
        <f>B!K16</f>
        <v>0</v>
      </c>
      <c r="L16" s="74">
        <f>B!L16</f>
        <v>0</v>
      </c>
      <c r="M16" s="73">
        <f>B!M16</f>
        <v>50</v>
      </c>
      <c r="N16" s="73">
        <f>B!N16</f>
        <v>5</v>
      </c>
      <c r="O16" s="75">
        <f>B!O16</f>
        <v>55</v>
      </c>
      <c r="P16" s="66"/>
    </row>
    <row r="17" spans="1:16" ht="11.25" customHeight="1">
      <c r="A17" s="67">
        <f>A!A17</f>
        <v>15</v>
      </c>
      <c r="B17" s="68" t="str">
        <f>B!B17</f>
        <v>Milošević Stefan</v>
      </c>
      <c r="C17" s="69"/>
      <c r="D17" s="76" t="str">
        <f>B!D17</f>
        <v>nedovoljan</v>
      </c>
      <c r="E17" s="77" t="str">
        <f>B!E17</f>
        <v>/\/</v>
      </c>
      <c r="F17" s="72">
        <f>B!F17</f>
        <v>3</v>
      </c>
      <c r="G17" s="72">
        <f>B!G17</f>
        <v>62</v>
      </c>
      <c r="H17" s="73">
        <f>B!H17</f>
        <v>8</v>
      </c>
      <c r="I17" s="74">
        <f>B!I17</f>
        <v>70</v>
      </c>
      <c r="J17" s="73">
        <f>B!J17</f>
        <v>0</v>
      </c>
      <c r="K17" s="73">
        <f>B!K17</f>
        <v>0</v>
      </c>
      <c r="L17" s="74">
        <f>B!L17</f>
        <v>0</v>
      </c>
      <c r="M17" s="73">
        <f>B!M17</f>
        <v>62</v>
      </c>
      <c r="N17" s="73">
        <f>B!N17</f>
        <v>8</v>
      </c>
      <c r="O17" s="75">
        <f>B!O17</f>
        <v>70</v>
      </c>
      <c r="P17" s="66"/>
    </row>
    <row r="18" spans="1:16" ht="11.25" customHeight="1">
      <c r="A18" s="67">
        <f>A!A18</f>
        <v>16</v>
      </c>
      <c r="B18" s="68" t="str">
        <f>B!B18</f>
        <v>Novaković Milena</v>
      </c>
      <c r="C18" s="69"/>
      <c r="D18" s="76" t="str">
        <f>B!D18</f>
        <v>odlican</v>
      </c>
      <c r="E18" s="77">
        <f>B!E18</f>
        <v>4.846153846153846</v>
      </c>
      <c r="F18" s="72">
        <f>B!F18</f>
        <v>0</v>
      </c>
      <c r="G18" s="72">
        <f>B!G18</f>
        <v>59</v>
      </c>
      <c r="H18" s="73">
        <f>B!H18</f>
        <v>0</v>
      </c>
      <c r="I18" s="74">
        <f>B!I18</f>
        <v>59</v>
      </c>
      <c r="J18" s="73">
        <f>B!J18</f>
        <v>0</v>
      </c>
      <c r="K18" s="73">
        <f>B!K18</f>
        <v>0</v>
      </c>
      <c r="L18" s="74">
        <f>B!L18</f>
        <v>0</v>
      </c>
      <c r="M18" s="73">
        <f>B!M18</f>
        <v>59</v>
      </c>
      <c r="N18" s="73">
        <f>B!N18</f>
        <v>0</v>
      </c>
      <c r="O18" s="75">
        <f>B!O18</f>
        <v>59</v>
      </c>
      <c r="P18" s="66"/>
    </row>
    <row r="19" spans="1:16" ht="11.25" customHeight="1">
      <c r="A19" s="67">
        <f>A!A19</f>
        <v>17</v>
      </c>
      <c r="B19" s="68" t="str">
        <f>B!B19</f>
        <v>Orbanović Gradimir</v>
      </c>
      <c r="C19" s="69"/>
      <c r="D19" s="76" t="str">
        <f>B!D19</f>
        <v>vrlodobar</v>
      </c>
      <c r="E19" s="77">
        <f>B!E19</f>
        <v>4.166666666666667</v>
      </c>
      <c r="F19" s="72">
        <f>B!F19</f>
        <v>0</v>
      </c>
      <c r="G19" s="72">
        <f>B!G19</f>
        <v>54</v>
      </c>
      <c r="H19" s="73">
        <f>B!H19</f>
        <v>0</v>
      </c>
      <c r="I19" s="74">
        <f>B!I19</f>
        <v>54</v>
      </c>
      <c r="J19" s="73">
        <f>B!J19</f>
        <v>0</v>
      </c>
      <c r="K19" s="73">
        <f>B!K19</f>
        <v>0</v>
      </c>
      <c r="L19" s="74">
        <f>B!L19</f>
        <v>0</v>
      </c>
      <c r="M19" s="73">
        <f>B!M19</f>
        <v>54</v>
      </c>
      <c r="N19" s="73">
        <f>B!N19</f>
        <v>0</v>
      </c>
      <c r="O19" s="75">
        <f>B!O19</f>
        <v>54</v>
      </c>
      <c r="P19" s="66"/>
    </row>
    <row r="20" spans="1:16" ht="11.25" customHeight="1">
      <c r="A20" s="67">
        <f>A!A20</f>
        <v>18</v>
      </c>
      <c r="B20" s="68" t="str">
        <f>B!B20</f>
        <v>Poček Sonja</v>
      </c>
      <c r="C20" s="69"/>
      <c r="D20" s="76" t="str">
        <f>B!D20</f>
        <v>odlican</v>
      </c>
      <c r="E20" s="77">
        <f>B!E20</f>
        <v>5</v>
      </c>
      <c r="F20" s="72">
        <f>B!F20</f>
        <v>0</v>
      </c>
      <c r="G20" s="72">
        <f>B!G20</f>
        <v>12</v>
      </c>
      <c r="H20" s="73">
        <f>B!H20</f>
        <v>0</v>
      </c>
      <c r="I20" s="74">
        <f>B!I20</f>
        <v>12</v>
      </c>
      <c r="J20" s="73">
        <f>B!J20</f>
        <v>0</v>
      </c>
      <c r="K20" s="73">
        <f>B!K20</f>
        <v>0</v>
      </c>
      <c r="L20" s="74">
        <f>B!L20</f>
        <v>0</v>
      </c>
      <c r="M20" s="73">
        <f>B!M20</f>
        <v>12</v>
      </c>
      <c r="N20" s="73">
        <f>B!N20</f>
        <v>0</v>
      </c>
      <c r="O20" s="75">
        <f>B!O20</f>
        <v>12</v>
      </c>
      <c r="P20" s="66"/>
    </row>
    <row r="21" spans="1:16" ht="11.25" customHeight="1">
      <c r="A21" s="67">
        <f>A!A21</f>
        <v>19</v>
      </c>
      <c r="B21" s="68" t="str">
        <f>B!B21</f>
        <v>Rozman Marko</v>
      </c>
      <c r="C21" s="69"/>
      <c r="D21" s="76" t="str">
        <f>B!D21</f>
        <v>nedovoljan</v>
      </c>
      <c r="E21" s="77" t="str">
        <f>B!E21</f>
        <v>/\/</v>
      </c>
      <c r="F21" s="72">
        <f>B!F21</f>
        <v>2</v>
      </c>
      <c r="G21" s="72">
        <f>B!G21</f>
        <v>2</v>
      </c>
      <c r="H21" s="73">
        <f>B!H21</f>
        <v>10</v>
      </c>
      <c r="I21" s="74">
        <f>B!I21</f>
        <v>12</v>
      </c>
      <c r="J21" s="73">
        <f>B!J21</f>
        <v>0</v>
      </c>
      <c r="K21" s="73">
        <f>B!K21</f>
        <v>0</v>
      </c>
      <c r="L21" s="74">
        <f>B!L21</f>
        <v>0</v>
      </c>
      <c r="M21" s="73">
        <f>B!M21</f>
        <v>2</v>
      </c>
      <c r="N21" s="73">
        <f>B!N21</f>
        <v>10</v>
      </c>
      <c r="O21" s="75">
        <f>B!O21</f>
        <v>12</v>
      </c>
      <c r="P21" s="66"/>
    </row>
    <row r="22" spans="1:16" ht="11.25" customHeight="1">
      <c r="A22" s="67">
        <f>A!A22</f>
        <v>20</v>
      </c>
      <c r="B22" s="68" t="str">
        <f>B!B22</f>
        <v>Stojanović Jovan</v>
      </c>
      <c r="C22" s="69"/>
      <c r="D22" s="76" t="str">
        <f>B!D22</f>
        <v>vrlodobar</v>
      </c>
      <c r="E22" s="77">
        <f>B!E22</f>
        <v>3.6666666666666665</v>
      </c>
      <c r="F22" s="72">
        <f>B!F22</f>
        <v>0</v>
      </c>
      <c r="G22" s="72">
        <f>B!G22</f>
        <v>9</v>
      </c>
      <c r="H22" s="73">
        <f>B!H22</f>
        <v>0</v>
      </c>
      <c r="I22" s="74">
        <f>B!I22</f>
        <v>9</v>
      </c>
      <c r="J22" s="73">
        <f>B!J22</f>
        <v>0</v>
      </c>
      <c r="K22" s="73">
        <f>B!K22</f>
        <v>0</v>
      </c>
      <c r="L22" s="74">
        <f>B!L22</f>
        <v>0</v>
      </c>
      <c r="M22" s="73">
        <f>B!M22</f>
        <v>9</v>
      </c>
      <c r="N22" s="73">
        <f>B!N22</f>
        <v>0</v>
      </c>
      <c r="O22" s="75">
        <f>B!O22</f>
        <v>9</v>
      </c>
      <c r="P22" s="66"/>
    </row>
    <row r="23" spans="1:16" ht="11.25" customHeight="1">
      <c r="A23" s="67">
        <f>A!A23</f>
        <v>21</v>
      </c>
      <c r="B23" s="68" t="str">
        <f>B!B23</f>
        <v>Tadić Vesna</v>
      </c>
      <c r="C23" s="69"/>
      <c r="D23" s="76" t="str">
        <f>B!D23</f>
        <v>nedovoljan</v>
      </c>
      <c r="E23" s="77" t="str">
        <f>B!E23</f>
        <v>/\/</v>
      </c>
      <c r="F23" s="72">
        <f>B!F23</f>
        <v>3</v>
      </c>
      <c r="G23" s="72">
        <f>B!G23</f>
        <v>23</v>
      </c>
      <c r="H23" s="73">
        <f>B!H23</f>
        <v>2</v>
      </c>
      <c r="I23" s="74">
        <f>B!I23</f>
        <v>25</v>
      </c>
      <c r="J23" s="73">
        <f>B!J23</f>
        <v>0</v>
      </c>
      <c r="K23" s="73">
        <f>B!K23</f>
        <v>0</v>
      </c>
      <c r="L23" s="74">
        <f>B!L23</f>
        <v>0</v>
      </c>
      <c r="M23" s="73">
        <f>B!M23</f>
        <v>23</v>
      </c>
      <c r="N23" s="73">
        <f>B!N23</f>
        <v>2</v>
      </c>
      <c r="O23" s="75">
        <f>B!O23</f>
        <v>25</v>
      </c>
      <c r="P23" s="66"/>
    </row>
    <row r="24" spans="1:16" ht="11.25" customHeight="1">
      <c r="A24" s="67">
        <f>A!A24</f>
        <v>22</v>
      </c>
      <c r="B24" s="68" t="str">
        <f>B!B24</f>
        <v>Misailović Jovana</v>
      </c>
      <c r="C24" s="69"/>
      <c r="D24" s="76" t="str">
        <f>B!D24</f>
        <v>vrlodobar</v>
      </c>
      <c r="E24" s="77">
        <f>B!E24</f>
        <v>3.923076923076923</v>
      </c>
      <c r="F24" s="72">
        <f>B!F24</f>
        <v>0</v>
      </c>
      <c r="G24" s="72">
        <f>B!G24</f>
        <v>33</v>
      </c>
      <c r="H24" s="73">
        <f>B!H24</f>
        <v>0</v>
      </c>
      <c r="I24" s="74">
        <f>B!I24</f>
        <v>33</v>
      </c>
      <c r="J24" s="73">
        <f>B!J24</f>
        <v>0</v>
      </c>
      <c r="K24" s="73">
        <f>B!K24</f>
        <v>0</v>
      </c>
      <c r="L24" s="74">
        <f>B!L24</f>
        <v>0</v>
      </c>
      <c r="M24" s="73">
        <f>B!M24</f>
        <v>33</v>
      </c>
      <c r="N24" s="73">
        <f>B!N24</f>
        <v>0</v>
      </c>
      <c r="O24" s="75">
        <f>B!O24</f>
        <v>33</v>
      </c>
      <c r="P24" s="66"/>
    </row>
    <row r="25" spans="1:16" ht="11.25" customHeight="1">
      <c r="A25" s="67">
        <f>A!A25</f>
        <v>23</v>
      </c>
      <c r="B25" s="68" t="str">
        <f>B!B25</f>
        <v> </v>
      </c>
      <c r="C25" s="69"/>
      <c r="D25" s="76">
        <f>B!D25</f>
      </c>
      <c r="E25" s="77" t="str">
        <f>B!E25</f>
        <v> </v>
      </c>
      <c r="F25" s="72">
        <f>B!F25</f>
      </c>
      <c r="G25" s="72">
        <f>B!G25</f>
      </c>
      <c r="H25" s="73">
        <f>B!H25</f>
      </c>
      <c r="I25" s="74">
        <f>B!I25</f>
      </c>
      <c r="J25" s="73">
        <f>B!J25</f>
      </c>
      <c r="K25" s="73">
        <f>B!K25</f>
      </c>
      <c r="L25" s="74">
        <f>B!L25</f>
      </c>
      <c r="M25" s="73">
        <f>B!M25</f>
      </c>
      <c r="N25" s="73">
        <f>B!N25</f>
      </c>
      <c r="O25" s="75">
        <f>B!O25</f>
      </c>
      <c r="P25" s="66"/>
    </row>
    <row r="26" spans="1:16" ht="11.25" customHeight="1">
      <c r="A26" s="67">
        <f>A!A26</f>
        <v>24</v>
      </c>
      <c r="B26" s="68" t="str">
        <f>B!B26</f>
        <v> </v>
      </c>
      <c r="C26" s="69"/>
      <c r="D26" s="76">
        <f>B!D26</f>
      </c>
      <c r="E26" s="77" t="str">
        <f>B!E26</f>
        <v> </v>
      </c>
      <c r="F26" s="72">
        <f>B!F26</f>
      </c>
      <c r="G26" s="72">
        <f>B!G26</f>
      </c>
      <c r="H26" s="73">
        <f>B!H26</f>
      </c>
      <c r="I26" s="74">
        <f>B!I26</f>
      </c>
      <c r="J26" s="73">
        <f>B!J26</f>
      </c>
      <c r="K26" s="73">
        <f>B!K26</f>
      </c>
      <c r="L26" s="74">
        <f>B!L26</f>
      </c>
      <c r="M26" s="73">
        <f>B!M26</f>
      </c>
      <c r="N26" s="73">
        <f>B!N26</f>
      </c>
      <c r="O26" s="75">
        <f>B!O26</f>
      </c>
      <c r="P26" s="66"/>
    </row>
    <row r="27" spans="1:16" ht="11.25" customHeight="1">
      <c r="A27" s="67">
        <f>A!A27</f>
        <v>25</v>
      </c>
      <c r="B27" s="68" t="str">
        <f>B!B27</f>
        <v> </v>
      </c>
      <c r="C27" s="69"/>
      <c r="D27" s="76">
        <f>B!D27</f>
      </c>
      <c r="E27" s="77" t="str">
        <f>B!E27</f>
        <v> </v>
      </c>
      <c r="F27" s="72">
        <f>B!F27</f>
      </c>
      <c r="G27" s="72">
        <f>B!G27</f>
      </c>
      <c r="H27" s="73">
        <f>B!H27</f>
      </c>
      <c r="I27" s="74">
        <f>B!I27</f>
      </c>
      <c r="J27" s="73">
        <f>B!J27</f>
      </c>
      <c r="K27" s="73">
        <f>B!K27</f>
      </c>
      <c r="L27" s="74">
        <f>B!L27</f>
      </c>
      <c r="M27" s="73">
        <f>B!M27</f>
      </c>
      <c r="N27" s="73">
        <f>B!N27</f>
      </c>
      <c r="O27" s="75">
        <f>B!O27</f>
      </c>
      <c r="P27" s="66"/>
    </row>
    <row r="28" spans="1:16" ht="11.25" customHeight="1">
      <c r="A28" s="67">
        <f>A!A28</f>
        <v>26</v>
      </c>
      <c r="B28" s="68" t="str">
        <f>B!B28</f>
        <v> </v>
      </c>
      <c r="C28" s="69"/>
      <c r="D28" s="76">
        <f>B!D28</f>
      </c>
      <c r="E28" s="77" t="str">
        <f>B!E28</f>
        <v> </v>
      </c>
      <c r="F28" s="72">
        <f>B!F28</f>
      </c>
      <c r="G28" s="72">
        <f>B!G28</f>
      </c>
      <c r="H28" s="73">
        <f>B!H28</f>
      </c>
      <c r="I28" s="74">
        <f>B!I28</f>
      </c>
      <c r="J28" s="73">
        <f>B!J28</f>
      </c>
      <c r="K28" s="73">
        <f>B!K28</f>
      </c>
      <c r="L28" s="74">
        <f>B!L28</f>
      </c>
      <c r="M28" s="73">
        <f>B!M28</f>
      </c>
      <c r="N28" s="73">
        <f>B!N28</f>
      </c>
      <c r="O28" s="75">
        <f>B!O28</f>
      </c>
      <c r="P28" s="66"/>
    </row>
    <row r="29" spans="1:16" ht="11.25" customHeight="1">
      <c r="A29" s="67">
        <f>A!A29</f>
        <v>27</v>
      </c>
      <c r="B29" s="68" t="str">
        <f>B!B29</f>
        <v> </v>
      </c>
      <c r="C29" s="69"/>
      <c r="D29" s="76">
        <f>B!D29</f>
      </c>
      <c r="E29" s="77" t="str">
        <f>B!E29</f>
        <v> </v>
      </c>
      <c r="F29" s="72">
        <f>B!F29</f>
      </c>
      <c r="G29" s="72">
        <f>B!G29</f>
      </c>
      <c r="H29" s="73">
        <f>B!H29</f>
      </c>
      <c r="I29" s="74">
        <f>B!I29</f>
      </c>
      <c r="J29" s="73">
        <f>B!J29</f>
      </c>
      <c r="K29" s="73">
        <f>B!K29</f>
      </c>
      <c r="L29" s="74">
        <f>B!L29</f>
      </c>
      <c r="M29" s="73">
        <f>B!M29</f>
      </c>
      <c r="N29" s="73">
        <f>B!N29</f>
      </c>
      <c r="O29" s="75">
        <f>B!O29</f>
      </c>
      <c r="P29" s="66"/>
    </row>
    <row r="30" spans="1:16" ht="11.25" customHeight="1">
      <c r="A30" s="67">
        <f>A!A30</f>
        <v>28</v>
      </c>
      <c r="B30" s="68" t="str">
        <f>B!B30</f>
        <v> </v>
      </c>
      <c r="C30" s="69"/>
      <c r="D30" s="76">
        <f>B!D30</f>
      </c>
      <c r="E30" s="77" t="str">
        <f>B!E30</f>
        <v> </v>
      </c>
      <c r="F30" s="72">
        <f>B!F30</f>
      </c>
      <c r="G30" s="72">
        <f>B!G30</f>
      </c>
      <c r="H30" s="73">
        <f>B!H30</f>
      </c>
      <c r="I30" s="74">
        <f>B!I30</f>
      </c>
      <c r="J30" s="73">
        <f>B!J30</f>
      </c>
      <c r="K30" s="73">
        <f>B!K30</f>
      </c>
      <c r="L30" s="74">
        <f>B!L30</f>
      </c>
      <c r="M30" s="73">
        <f>B!M30</f>
      </c>
      <c r="N30" s="73">
        <f>B!N30</f>
      </c>
      <c r="O30" s="75">
        <f>B!O30</f>
      </c>
      <c r="P30" s="66"/>
    </row>
    <row r="31" spans="1:16" ht="11.25" customHeight="1">
      <c r="A31" s="67">
        <f>A!A31</f>
        <v>29</v>
      </c>
      <c r="B31" s="68" t="str">
        <f>B!B31</f>
        <v> </v>
      </c>
      <c r="C31" s="78"/>
      <c r="D31" s="76">
        <f>B!D31</f>
      </c>
      <c r="E31" s="77" t="str">
        <f>B!E31</f>
        <v> </v>
      </c>
      <c r="F31" s="72">
        <f>B!F31</f>
      </c>
      <c r="G31" s="73">
        <f>B!G31</f>
      </c>
      <c r="H31" s="73">
        <f>B!H31</f>
      </c>
      <c r="I31" s="74">
        <f>B!I31</f>
      </c>
      <c r="J31" s="73">
        <f>B!J31</f>
      </c>
      <c r="K31" s="73">
        <f>B!K31</f>
      </c>
      <c r="L31" s="74">
        <f>B!L31</f>
      </c>
      <c r="M31" s="73">
        <f>B!M31</f>
      </c>
      <c r="N31" s="73">
        <f>B!N31</f>
      </c>
      <c r="O31" s="75">
        <f>B!O31</f>
      </c>
      <c r="P31" s="66"/>
    </row>
    <row r="32" spans="1:16" ht="11.25" customHeight="1">
      <c r="A32" s="67">
        <f>A!A32</f>
        <v>30</v>
      </c>
      <c r="B32" s="68" t="str">
        <f>B!B32</f>
        <v> </v>
      </c>
      <c r="C32" s="78"/>
      <c r="D32" s="76">
        <f>B!D32</f>
      </c>
      <c r="E32" s="77" t="str">
        <f>B!E32</f>
        <v> </v>
      </c>
      <c r="F32" s="72">
        <f>B!F32</f>
      </c>
      <c r="G32" s="73">
        <f>B!G32</f>
      </c>
      <c r="H32" s="73">
        <f>B!H32</f>
      </c>
      <c r="I32" s="74">
        <f>B!I32</f>
      </c>
      <c r="J32" s="73">
        <f>B!J32</f>
      </c>
      <c r="K32" s="73">
        <f>B!K32</f>
      </c>
      <c r="L32" s="74">
        <f>B!L32</f>
      </c>
      <c r="M32" s="73">
        <f>B!M32</f>
      </c>
      <c r="N32" s="73">
        <f>B!N32</f>
      </c>
      <c r="O32" s="75">
        <f>B!O32</f>
      </c>
      <c r="P32" s="66"/>
    </row>
    <row r="33" spans="1:16" ht="11.25" customHeight="1">
      <c r="A33" s="67">
        <f>A!A33</f>
        <v>31</v>
      </c>
      <c r="B33" s="68" t="str">
        <f>B!B33</f>
        <v> </v>
      </c>
      <c r="C33" s="78"/>
      <c r="D33" s="76">
        <f>B!D33</f>
      </c>
      <c r="E33" s="77" t="str">
        <f>B!E33</f>
        <v> </v>
      </c>
      <c r="F33" s="72">
        <f>B!F33</f>
      </c>
      <c r="G33" s="73">
        <f>B!G33</f>
      </c>
      <c r="H33" s="73">
        <f>B!H33</f>
      </c>
      <c r="I33" s="74">
        <f>B!I33</f>
      </c>
      <c r="J33" s="73">
        <f>B!J33</f>
      </c>
      <c r="K33" s="73">
        <f>B!K33</f>
      </c>
      <c r="L33" s="74">
        <f>B!L33</f>
      </c>
      <c r="M33" s="73">
        <f>B!M33</f>
      </c>
      <c r="N33" s="73">
        <f>B!N33</f>
      </c>
      <c r="O33" s="75">
        <f>B!O33</f>
      </c>
      <c r="P33" s="66"/>
    </row>
    <row r="34" spans="1:16" ht="11.25" customHeight="1">
      <c r="A34" s="67">
        <f>A!A34</f>
        <v>32</v>
      </c>
      <c r="B34" s="68" t="str">
        <f>B!B34</f>
        <v> </v>
      </c>
      <c r="C34" s="78"/>
      <c r="D34" s="76">
        <f>B!D34</f>
      </c>
      <c r="E34" s="77" t="str">
        <f>B!E34</f>
        <v> </v>
      </c>
      <c r="F34" s="72">
        <f>B!F34</f>
      </c>
      <c r="G34" s="73">
        <f>B!G34</f>
      </c>
      <c r="H34" s="73">
        <f>B!H34</f>
      </c>
      <c r="I34" s="74">
        <f>B!I34</f>
      </c>
      <c r="J34" s="73">
        <f>B!J34</f>
      </c>
      <c r="K34" s="73">
        <f>B!K34</f>
      </c>
      <c r="L34" s="74">
        <f>B!L34</f>
      </c>
      <c r="M34" s="73">
        <f>B!M34</f>
      </c>
      <c r="N34" s="73">
        <f>B!N34</f>
      </c>
      <c r="O34" s="75">
        <f>B!O34</f>
      </c>
      <c r="P34" s="66"/>
    </row>
    <row r="35" spans="1:16" ht="11.25" customHeight="1">
      <c r="A35" s="67">
        <f>A!A35</f>
        <v>33</v>
      </c>
      <c r="B35" s="68" t="str">
        <f>B!B35</f>
        <v> </v>
      </c>
      <c r="C35" s="78"/>
      <c r="D35" s="76">
        <f>B!D35</f>
      </c>
      <c r="E35" s="77" t="str">
        <f>B!E35</f>
        <v> </v>
      </c>
      <c r="F35" s="72">
        <f>B!F35</f>
      </c>
      <c r="G35" s="73">
        <f>B!G35</f>
      </c>
      <c r="H35" s="73">
        <f>B!H35</f>
      </c>
      <c r="I35" s="74">
        <f>B!I35</f>
      </c>
      <c r="J35" s="73">
        <f>B!J35</f>
      </c>
      <c r="K35" s="73">
        <f>B!K35</f>
      </c>
      <c r="L35" s="74">
        <f>B!L35</f>
      </c>
      <c r="M35" s="73">
        <f>B!M35</f>
      </c>
      <c r="N35" s="73">
        <f>B!N35</f>
      </c>
      <c r="O35" s="75">
        <f>B!O35</f>
      </c>
      <c r="P35" s="66"/>
    </row>
    <row r="36" spans="1:16" ht="11.25" customHeight="1">
      <c r="A36" s="67">
        <f>A!A36</f>
        <v>34</v>
      </c>
      <c r="B36" s="68" t="str">
        <f>B!B36</f>
        <v> </v>
      </c>
      <c r="C36" s="78"/>
      <c r="D36" s="76">
        <f>B!D36</f>
      </c>
      <c r="E36" s="77" t="str">
        <f>B!E36</f>
        <v> </v>
      </c>
      <c r="F36" s="72">
        <f>B!F36</f>
      </c>
      <c r="G36" s="73">
        <f>B!G36</f>
      </c>
      <c r="H36" s="73">
        <f>B!H36</f>
      </c>
      <c r="I36" s="74">
        <f>B!I36</f>
      </c>
      <c r="J36" s="73">
        <f>B!J36</f>
      </c>
      <c r="K36" s="73">
        <f>B!K36</f>
      </c>
      <c r="L36" s="74">
        <f>B!L36</f>
      </c>
      <c r="M36" s="73">
        <f>B!M36</f>
      </c>
      <c r="N36" s="73">
        <f>B!N36</f>
      </c>
      <c r="O36" s="75">
        <f>B!O36</f>
      </c>
      <c r="P36" s="66"/>
    </row>
    <row r="37" spans="1:16" ht="11.25" customHeight="1">
      <c r="A37" s="67">
        <f>A!A37</f>
        <v>35</v>
      </c>
      <c r="B37" s="68" t="str">
        <f>B!B37</f>
        <v> </v>
      </c>
      <c r="C37" s="78"/>
      <c r="D37" s="76">
        <f>B!D37</f>
      </c>
      <c r="E37" s="77" t="str">
        <f>B!E37</f>
        <v> </v>
      </c>
      <c r="F37" s="72">
        <f>B!F37</f>
      </c>
      <c r="G37" s="73">
        <f>B!G37</f>
      </c>
      <c r="H37" s="73">
        <f>B!H37</f>
      </c>
      <c r="I37" s="74">
        <f>B!I37</f>
      </c>
      <c r="J37" s="73">
        <f>B!J37</f>
      </c>
      <c r="K37" s="73">
        <f>B!K37</f>
      </c>
      <c r="L37" s="74">
        <f>B!L37</f>
      </c>
      <c r="M37" s="73">
        <f>B!M37</f>
      </c>
      <c r="N37" s="73">
        <f>B!N37</f>
      </c>
      <c r="O37" s="75">
        <f>B!O37</f>
      </c>
      <c r="P37" s="66"/>
    </row>
    <row r="38" spans="1:16" ht="11.25" customHeight="1">
      <c r="A38" s="67">
        <f>A!A38</f>
        <v>36</v>
      </c>
      <c r="B38" s="68" t="str">
        <f>B!B38</f>
        <v> </v>
      </c>
      <c r="C38" s="78"/>
      <c r="D38" s="76">
        <f>B!D38</f>
      </c>
      <c r="E38" s="77" t="str">
        <f>B!E38</f>
        <v> </v>
      </c>
      <c r="F38" s="72">
        <f>B!F38</f>
      </c>
      <c r="G38" s="73">
        <f>B!G38</f>
      </c>
      <c r="H38" s="73">
        <f>B!H38</f>
      </c>
      <c r="I38" s="74">
        <f>B!I38</f>
      </c>
      <c r="J38" s="73">
        <f>B!J38</f>
      </c>
      <c r="K38" s="73">
        <f>B!K38</f>
      </c>
      <c r="L38" s="74">
        <f>B!L38</f>
      </c>
      <c r="M38" s="73">
        <f>B!M38</f>
      </c>
      <c r="N38" s="73">
        <f>B!N38</f>
      </c>
      <c r="O38" s="75">
        <f>B!O38</f>
      </c>
      <c r="P38" s="66"/>
    </row>
    <row r="39" spans="1:16" ht="11.25" customHeight="1">
      <c r="A39" s="67">
        <f>A!A39</f>
        <v>37</v>
      </c>
      <c r="B39" s="68" t="str">
        <f>B!B39</f>
        <v> </v>
      </c>
      <c r="C39" s="78"/>
      <c r="D39" s="76">
        <f>B!D39</f>
      </c>
      <c r="E39" s="77" t="str">
        <f>B!E39</f>
        <v> </v>
      </c>
      <c r="F39" s="72">
        <f>B!F39</f>
      </c>
      <c r="G39" s="73">
        <f>B!G39</f>
      </c>
      <c r="H39" s="73">
        <f>B!H39</f>
      </c>
      <c r="I39" s="74">
        <f>B!I39</f>
      </c>
      <c r="J39" s="73">
        <f>B!J39</f>
      </c>
      <c r="K39" s="73">
        <f>B!K39</f>
      </c>
      <c r="L39" s="74">
        <f>B!L39</f>
      </c>
      <c r="M39" s="73">
        <f>B!M39</f>
      </c>
      <c r="N39" s="73">
        <f>B!N39</f>
      </c>
      <c r="O39" s="75">
        <f>B!O39</f>
      </c>
      <c r="P39" s="66"/>
    </row>
    <row r="40" spans="1:16" ht="11.25" customHeight="1">
      <c r="A40" s="67">
        <f>A!A40</f>
        <v>38</v>
      </c>
      <c r="B40" s="68" t="str">
        <f>B!B40</f>
        <v> </v>
      </c>
      <c r="C40" s="78"/>
      <c r="D40" s="76">
        <f>B!D40</f>
      </c>
      <c r="E40" s="77" t="str">
        <f>B!E40</f>
        <v> </v>
      </c>
      <c r="F40" s="72">
        <f>B!F40</f>
      </c>
      <c r="G40" s="73">
        <f>B!G40</f>
      </c>
      <c r="H40" s="73">
        <f>B!H40</f>
      </c>
      <c r="I40" s="74">
        <f>B!I40</f>
      </c>
      <c r="J40" s="73">
        <f>B!J40</f>
      </c>
      <c r="K40" s="73">
        <f>B!K40</f>
      </c>
      <c r="L40" s="74">
        <f>B!L40</f>
      </c>
      <c r="M40" s="73">
        <f>B!M40</f>
      </c>
      <c r="N40" s="73">
        <f>B!N40</f>
      </c>
      <c r="O40" s="75">
        <f>B!O40</f>
      </c>
      <c r="P40" s="66"/>
    </row>
    <row r="41" spans="1:16" ht="11.25" customHeight="1">
      <c r="A41" s="67">
        <f>A!A41</f>
        <v>39</v>
      </c>
      <c r="B41" s="68" t="str">
        <f>B!B41</f>
        <v> </v>
      </c>
      <c r="C41" s="78"/>
      <c r="D41" s="76">
        <f>B!D41</f>
      </c>
      <c r="E41" s="77" t="str">
        <f>B!E41</f>
        <v> </v>
      </c>
      <c r="F41" s="72">
        <f>B!F41</f>
      </c>
      <c r="G41" s="73">
        <f>B!G41</f>
      </c>
      <c r="H41" s="73">
        <f>B!H41</f>
      </c>
      <c r="I41" s="74">
        <f>B!I41</f>
      </c>
      <c r="J41" s="73">
        <f>B!J41</f>
      </c>
      <c r="K41" s="73">
        <f>B!K41</f>
      </c>
      <c r="L41" s="74">
        <f>B!L41</f>
      </c>
      <c r="M41" s="73">
        <f>B!M41</f>
      </c>
      <c r="N41" s="73">
        <f>B!N41</f>
      </c>
      <c r="O41" s="75">
        <f>B!O41</f>
      </c>
      <c r="P41" s="66"/>
    </row>
    <row r="42" spans="1:16" ht="11.25" customHeight="1">
      <c r="A42" s="67">
        <f>A!A42</f>
        <v>40</v>
      </c>
      <c r="B42" s="79" t="str">
        <f>B!B42</f>
        <v> </v>
      </c>
      <c r="C42" s="80"/>
      <c r="D42" s="81">
        <f>B!D42</f>
      </c>
      <c r="E42" s="82" t="str">
        <f>B!E42</f>
        <v> </v>
      </c>
      <c r="F42" s="72">
        <f>B!F42</f>
      </c>
      <c r="G42" s="73">
        <f>B!G42</f>
      </c>
      <c r="H42" s="73">
        <f>B!H42</f>
      </c>
      <c r="I42" s="74">
        <f>B!I42</f>
      </c>
      <c r="J42" s="73">
        <f>B!J42</f>
      </c>
      <c r="K42" s="73">
        <f>B!K42</f>
      </c>
      <c r="L42" s="74">
        <f>B!L42</f>
      </c>
      <c r="M42" s="73">
        <f>B!M42</f>
      </c>
      <c r="N42" s="73">
        <f>B!N42</f>
      </c>
      <c r="O42" s="75">
        <f>B!O42</f>
      </c>
      <c r="P42" s="66"/>
    </row>
    <row r="43" spans="1:16" ht="12">
      <c r="A43" s="66"/>
      <c r="B43" s="66"/>
      <c r="C43" s="66"/>
      <c r="D43" s="66"/>
      <c r="E43" s="57"/>
      <c r="F43" s="57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8" ht="0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0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0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mergeCells count="1">
    <mergeCell ref="D1:F1"/>
  </mergeCells>
  <printOptions horizontalCentered="1" verticalCentered="1"/>
  <pageMargins left="0.5" right="0.6201388888888889" top="0" bottom="0.6701388888888888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G22" sqref="A1:IV65536"/>
    </sheetView>
  </sheetViews>
  <sheetFormatPr defaultColWidth="9.140625" defaultRowHeight="12.75"/>
  <cols>
    <col min="1" max="1" width="3.7109375" style="2" customWidth="1"/>
    <col min="2" max="2" width="17.57421875" style="2" customWidth="1"/>
    <col min="3" max="10" width="6.8515625" style="2" customWidth="1"/>
    <col min="11" max="11" width="6.421875" style="2" customWidth="1"/>
    <col min="12" max="12" width="7.28125" style="2" customWidth="1"/>
    <col min="13" max="16" width="6.421875" style="2" customWidth="1"/>
    <col min="17" max="18" width="7.00390625" style="2" customWidth="1"/>
    <col min="19" max="19" width="3.7109375" style="2" customWidth="1"/>
    <col min="20" max="20" width="0" style="2" hidden="1" customWidth="1"/>
    <col min="21" max="16384" width="9.00390625" style="2" customWidth="1"/>
  </cols>
  <sheetData>
    <row r="1" spans="1:19" ht="16.5" customHeight="1">
      <c r="A1" s="83" t="s">
        <v>0</v>
      </c>
      <c r="B1" s="84"/>
      <c r="C1" s="84"/>
      <c r="D1" s="85" t="s">
        <v>86</v>
      </c>
      <c r="E1" s="86"/>
      <c r="F1" s="87" t="str">
        <f>IF(Upis!E1="","",Upis!E1&amp;"/"&amp;Upis!I1)</f>
        <v>8/1</v>
      </c>
      <c r="G1" s="85" t="s">
        <v>87</v>
      </c>
      <c r="H1" s="88"/>
      <c r="I1" s="89" t="str">
        <f>IF(Upis!M1="","",IF(Upis!M1=1,"prvo","drugo"))</f>
        <v>prvo</v>
      </c>
      <c r="J1" s="85" t="s">
        <v>88</v>
      </c>
      <c r="K1" s="86"/>
      <c r="L1" s="85"/>
      <c r="M1" s="90" t="str">
        <f>IF(Upis!S1="","",Upis!S1&amp;" /")</f>
        <v>06 /</v>
      </c>
      <c r="N1" s="91" t="str">
        <f>IF(Upis!T1="","",Upis!T1)</f>
        <v>07</v>
      </c>
      <c r="O1" s="92"/>
      <c r="P1" s="93"/>
      <c r="Q1" s="94"/>
      <c r="R1" s="94"/>
      <c r="S1" s="95"/>
    </row>
    <row r="2" spans="1:19" ht="11.25" customHeight="1">
      <c r="A2" s="96"/>
      <c r="B2" s="97" t="s">
        <v>89</v>
      </c>
      <c r="C2" s="97"/>
      <c r="D2" s="98"/>
      <c r="E2" s="98"/>
      <c r="F2" s="99"/>
      <c r="G2" s="99"/>
      <c r="H2" s="99"/>
      <c r="I2" s="99"/>
      <c r="J2" s="99"/>
      <c r="K2" s="100"/>
      <c r="L2" s="100"/>
      <c r="M2" s="101"/>
      <c r="N2" s="101"/>
      <c r="O2" s="101"/>
      <c r="P2" s="100"/>
      <c r="Q2" s="100"/>
      <c r="R2" s="102"/>
      <c r="S2" s="103"/>
    </row>
    <row r="3" spans="1:19" ht="11.25" customHeight="1">
      <c r="A3" s="96"/>
      <c r="B3" s="104" t="s">
        <v>90</v>
      </c>
      <c r="C3" s="105" t="s">
        <v>9</v>
      </c>
      <c r="D3" s="106" t="str">
        <f>Upis!D2</f>
        <v>psj</v>
      </c>
      <c r="E3" s="106" t="s">
        <v>11</v>
      </c>
      <c r="F3" s="106" t="s">
        <v>12</v>
      </c>
      <c r="G3" s="107" t="s">
        <v>13</v>
      </c>
      <c r="H3" s="108" t="s">
        <v>14</v>
      </c>
      <c r="I3" s="109" t="s">
        <v>91</v>
      </c>
      <c r="J3" s="109" t="s">
        <v>16</v>
      </c>
      <c r="K3" s="109" t="s">
        <v>17</v>
      </c>
      <c r="L3" s="110" t="s">
        <v>18</v>
      </c>
      <c r="M3" s="111" t="s">
        <v>92</v>
      </c>
      <c r="N3" s="109" t="s">
        <v>15</v>
      </c>
      <c r="O3" s="109" t="s">
        <v>21</v>
      </c>
      <c r="P3" s="106" t="str">
        <f>Upis!P2</f>
        <v>dsj</v>
      </c>
      <c r="Q3" s="112" t="s">
        <v>84</v>
      </c>
      <c r="R3" s="112"/>
      <c r="S3" s="103"/>
    </row>
    <row r="4" spans="1:19" s="1" customFormat="1" ht="11.25" customHeight="1">
      <c r="A4" s="96"/>
      <c r="B4" s="113" t="str">
        <f>C!B4</f>
        <v>broj  petica</v>
      </c>
      <c r="C4" s="114">
        <f>C!C4</f>
        <v>9</v>
      </c>
      <c r="D4" s="114">
        <f>C!D4</f>
        <v>7</v>
      </c>
      <c r="E4" s="114">
        <f>C!E4</f>
        <v>17</v>
      </c>
      <c r="F4" s="114">
        <f>C!F4</f>
        <v>17</v>
      </c>
      <c r="G4" s="114">
        <f>C!G4</f>
        <v>6</v>
      </c>
      <c r="H4" s="114">
        <f>C!H4</f>
        <v>15</v>
      </c>
      <c r="I4" s="114">
        <f>C!I4</f>
        <v>5</v>
      </c>
      <c r="J4" s="114">
        <f>C!J4</f>
        <v>6</v>
      </c>
      <c r="K4" s="114">
        <f>C!K4</f>
        <v>10</v>
      </c>
      <c r="L4" s="114">
        <f>C!L4</f>
        <v>6</v>
      </c>
      <c r="M4" s="114">
        <f>C!M4</f>
        <v>17</v>
      </c>
      <c r="N4" s="114">
        <f>C!N4</f>
        <v>19</v>
      </c>
      <c r="O4" s="114">
        <f>C!O4</f>
        <v>9</v>
      </c>
      <c r="P4" s="114">
        <f>C!P4</f>
        <v>5</v>
      </c>
      <c r="Q4" s="115">
        <f>SUM(C4:P4)</f>
        <v>148</v>
      </c>
      <c r="R4" s="115"/>
      <c r="S4" s="116"/>
    </row>
    <row r="5" spans="1:19" ht="11.25" customHeight="1">
      <c r="A5" s="117"/>
      <c r="B5" s="118" t="str">
        <f>C!B5</f>
        <v>broj četvoraka</v>
      </c>
      <c r="C5" s="114">
        <f>C!C5</f>
        <v>6</v>
      </c>
      <c r="D5" s="114">
        <f>C!D5</f>
        <v>6</v>
      </c>
      <c r="E5" s="114">
        <f>C!E5</f>
        <v>5</v>
      </c>
      <c r="F5" s="114">
        <f>C!F5</f>
        <v>4</v>
      </c>
      <c r="G5" s="114">
        <f>C!G5</f>
        <v>3</v>
      </c>
      <c r="H5" s="114">
        <f>C!H5</f>
        <v>3</v>
      </c>
      <c r="I5" s="114">
        <f>C!I5</f>
        <v>2</v>
      </c>
      <c r="J5" s="114">
        <f>C!J5</f>
        <v>2</v>
      </c>
      <c r="K5" s="114">
        <f>C!K5</f>
        <v>4</v>
      </c>
      <c r="L5" s="114">
        <f>C!L5</f>
        <v>2</v>
      </c>
      <c r="M5" s="114">
        <f>C!M5</f>
        <v>1</v>
      </c>
      <c r="N5" s="114">
        <f>C!N5</f>
        <v>3</v>
      </c>
      <c r="O5" s="114">
        <f>C!O5</f>
        <v>1</v>
      </c>
      <c r="P5" s="114">
        <f>C!P5</f>
        <v>2</v>
      </c>
      <c r="Q5" s="115">
        <f>SUM(C5:P5)</f>
        <v>44</v>
      </c>
      <c r="R5" s="115"/>
      <c r="S5" s="103"/>
    </row>
    <row r="6" spans="1:19" ht="11.25" customHeight="1">
      <c r="A6" s="117"/>
      <c r="B6" s="118" t="str">
        <f>C!B6</f>
        <v>broj trojaka</v>
      </c>
      <c r="C6" s="114">
        <f>C!C6</f>
        <v>4</v>
      </c>
      <c r="D6" s="114">
        <f>C!D6</f>
        <v>2</v>
      </c>
      <c r="E6" s="114">
        <f>C!E6</f>
        <v>0</v>
      </c>
      <c r="F6" s="114">
        <f>C!F6</f>
        <v>1</v>
      </c>
      <c r="G6" s="114">
        <f>C!G6</f>
        <v>5</v>
      </c>
      <c r="H6" s="114">
        <f>C!H6</f>
        <v>4</v>
      </c>
      <c r="I6" s="114">
        <f>C!I6</f>
        <v>5</v>
      </c>
      <c r="J6" s="114">
        <f>C!J6</f>
        <v>3</v>
      </c>
      <c r="K6" s="114">
        <f>C!K6</f>
        <v>5</v>
      </c>
      <c r="L6" s="114">
        <f>C!L6</f>
        <v>7</v>
      </c>
      <c r="M6" s="114">
        <f>C!M6</f>
        <v>4</v>
      </c>
      <c r="N6" s="114">
        <f>C!N6</f>
        <v>0</v>
      </c>
      <c r="O6" s="114">
        <f>C!O6</f>
        <v>1</v>
      </c>
      <c r="P6" s="114">
        <f>C!P6</f>
        <v>1</v>
      </c>
      <c r="Q6" s="115">
        <f>SUM(C6:P6)</f>
        <v>42</v>
      </c>
      <c r="R6" s="115"/>
      <c r="S6" s="103"/>
    </row>
    <row r="7" spans="1:19" ht="11.25" customHeight="1">
      <c r="A7" s="117"/>
      <c r="B7" s="118" t="str">
        <f>C!B7</f>
        <v>broj dvojaka</v>
      </c>
      <c r="C7" s="114">
        <f>C!C7</f>
        <v>2</v>
      </c>
      <c r="D7" s="114">
        <f>C!D7</f>
        <v>5</v>
      </c>
      <c r="E7" s="114">
        <f>C!E7</f>
        <v>0</v>
      </c>
      <c r="F7" s="114">
        <f>C!F7</f>
        <v>0</v>
      </c>
      <c r="G7" s="114">
        <f>C!G7</f>
        <v>7</v>
      </c>
      <c r="H7" s="114">
        <f>C!H7</f>
        <v>0</v>
      </c>
      <c r="I7" s="114">
        <f>C!I7</f>
        <v>4</v>
      </c>
      <c r="J7" s="114">
        <f>C!J7</f>
        <v>5</v>
      </c>
      <c r="K7" s="114">
        <f>C!K7</f>
        <v>3</v>
      </c>
      <c r="L7" s="114">
        <f>C!L7</f>
        <v>7</v>
      </c>
      <c r="M7" s="114">
        <f>C!M7</f>
        <v>0</v>
      </c>
      <c r="N7" s="114">
        <f>C!N7</f>
        <v>0</v>
      </c>
      <c r="O7" s="119">
        <f>C!O7</f>
        <v>1</v>
      </c>
      <c r="P7" s="114">
        <f>C!P7</f>
        <v>1</v>
      </c>
      <c r="Q7" s="115">
        <f>SUM(C7:P7)</f>
        <v>35</v>
      </c>
      <c r="R7" s="115"/>
      <c r="S7" s="103"/>
    </row>
    <row r="8" spans="1:19" ht="11.25" customHeight="1">
      <c r="A8" s="117"/>
      <c r="B8" s="118" t="str">
        <f>C!B8</f>
        <v>broj jedinica</v>
      </c>
      <c r="C8" s="120">
        <f>C!C8</f>
        <v>1</v>
      </c>
      <c r="D8" s="120">
        <f>C!D8</f>
        <v>2</v>
      </c>
      <c r="E8" s="120">
        <f>C!E8</f>
        <v>0</v>
      </c>
      <c r="F8" s="120">
        <f>C!F8</f>
        <v>0</v>
      </c>
      <c r="G8" s="120">
        <f>C!G8</f>
        <v>1</v>
      </c>
      <c r="H8" s="120">
        <f>C!H8</f>
        <v>0</v>
      </c>
      <c r="I8" s="120">
        <f>C!I8</f>
        <v>6</v>
      </c>
      <c r="J8" s="120">
        <f>C!J8</f>
        <v>6</v>
      </c>
      <c r="K8" s="120">
        <f>C!K8</f>
        <v>0</v>
      </c>
      <c r="L8" s="120">
        <f>C!L8</f>
        <v>0</v>
      </c>
      <c r="M8" s="120">
        <f>C!M8</f>
        <v>0</v>
      </c>
      <c r="N8" s="120">
        <f>C!N8</f>
        <v>0</v>
      </c>
      <c r="O8" s="120">
        <f>C!O8</f>
        <v>0</v>
      </c>
      <c r="P8" s="120">
        <f>C!P8</f>
        <v>2</v>
      </c>
      <c r="Q8" s="115">
        <f>SUM(C8:P8)</f>
        <v>18</v>
      </c>
      <c r="R8" s="115"/>
      <c r="S8" s="103"/>
    </row>
    <row r="9" spans="1:19" ht="11.25" customHeight="1">
      <c r="A9" s="117"/>
      <c r="B9" s="121" t="s">
        <v>93</v>
      </c>
      <c r="C9" s="122">
        <f>C!C9</f>
        <v>3.909090909090909</v>
      </c>
      <c r="D9" s="122">
        <f>C!D9</f>
        <v>3.5</v>
      </c>
      <c r="E9" s="122">
        <f>C!E9</f>
        <v>4.7727272727272725</v>
      </c>
      <c r="F9" s="122">
        <f>C!F9</f>
        <v>4.7272727272727275</v>
      </c>
      <c r="G9" s="122">
        <f>C!G9</f>
        <v>3.272727272727273</v>
      </c>
      <c r="H9" s="122">
        <f>C!H9</f>
        <v>4.5</v>
      </c>
      <c r="I9" s="122">
        <f>C!I9</f>
        <v>2.8181818181818183</v>
      </c>
      <c r="J9" s="122">
        <f>C!J9</f>
        <v>2.8636363636363638</v>
      </c>
      <c r="K9" s="122">
        <f>C!K9</f>
        <v>3.9545454545454546</v>
      </c>
      <c r="L9" s="122">
        <f>C!L9</f>
        <v>3.3181818181818183</v>
      </c>
      <c r="M9" s="122">
        <f>C!M9</f>
        <v>4.590909090909091</v>
      </c>
      <c r="N9" s="122">
        <f>C!N9</f>
        <v>4.863636363636363</v>
      </c>
      <c r="O9" s="122">
        <f>C!O9</f>
        <v>4.5</v>
      </c>
      <c r="P9" s="122">
        <f>C!P9</f>
        <v>3.6363636363636362</v>
      </c>
      <c r="Q9" s="123">
        <f>C!U11</f>
        <v>3.9127272727272726</v>
      </c>
      <c r="R9" s="123"/>
      <c r="S9" s="103"/>
    </row>
    <row r="10" spans="1:19" ht="11.25" customHeight="1">
      <c r="A10" s="117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6"/>
      <c r="S10" s="103"/>
    </row>
    <row r="11" spans="1:19" ht="11.25" customHeight="1">
      <c r="A11" s="117"/>
      <c r="B11" s="113" t="s">
        <v>94</v>
      </c>
      <c r="C11" s="113"/>
      <c r="D11" s="113"/>
      <c r="E11" s="113" t="s">
        <v>95</v>
      </c>
      <c r="F11" s="127"/>
      <c r="G11" s="127"/>
      <c r="H11" s="127"/>
      <c r="I11" s="127"/>
      <c r="J11" s="127"/>
      <c r="K11" s="127"/>
      <c r="L11" s="128" t="s">
        <v>96</v>
      </c>
      <c r="M11" s="129"/>
      <c r="N11" s="130"/>
      <c r="O11" s="130"/>
      <c r="P11" s="130"/>
      <c r="Q11" s="128" t="s">
        <v>97</v>
      </c>
      <c r="R11" s="130"/>
      <c r="S11" s="103"/>
    </row>
    <row r="12" spans="1:19" ht="11.25" customHeight="1">
      <c r="A12" s="117"/>
      <c r="B12" s="118" t="str">
        <f>C!B12</f>
        <v>broj odličnih</v>
      </c>
      <c r="C12" s="131">
        <f>C!C12</f>
        <v>6</v>
      </c>
      <c r="D12" s="132"/>
      <c r="E12" s="133" t="str">
        <f>C!G12</f>
        <v>procenat odličnih</v>
      </c>
      <c r="F12" s="134"/>
      <c r="G12" s="134"/>
      <c r="H12" s="134"/>
      <c r="I12" s="135">
        <f>C!K12</f>
        <v>0.2727266528939707</v>
      </c>
      <c r="J12" s="135"/>
      <c r="L12" s="118" t="s">
        <v>98</v>
      </c>
      <c r="M12" s="136"/>
      <c r="N12" s="137">
        <f>C!C8</f>
        <v>1</v>
      </c>
      <c r="O12" s="138"/>
      <c r="P12" s="139"/>
      <c r="Q12" s="135">
        <f>C!Q13</f>
        <v>0.0034843199504669075</v>
      </c>
      <c r="R12" s="135"/>
      <c r="S12" s="103"/>
    </row>
    <row r="13" spans="1:19" ht="11.25" customHeight="1">
      <c r="A13" s="117"/>
      <c r="B13" s="118" t="str">
        <f>C!B13</f>
        <v>broj vrlodobrih  </v>
      </c>
      <c r="C13" s="131">
        <f>C!C13</f>
        <v>8</v>
      </c>
      <c r="D13" s="132"/>
      <c r="E13" s="133" t="str">
        <f>C!G13</f>
        <v>procenat vrlodobrih</v>
      </c>
      <c r="F13" s="134"/>
      <c r="G13" s="134"/>
      <c r="H13" s="140"/>
      <c r="I13" s="135">
        <f>C!K13</f>
        <v>0.3636355371919609</v>
      </c>
      <c r="J13" s="135"/>
      <c r="L13" s="118" t="s">
        <v>99</v>
      </c>
      <c r="M13" s="141"/>
      <c r="N13" s="137">
        <f>C!D8</f>
        <v>2</v>
      </c>
      <c r="O13" s="138"/>
      <c r="P13" s="139"/>
      <c r="Q13" s="135">
        <f>C!Q14</f>
        <v>0.006968639900933815</v>
      </c>
      <c r="R13" s="135"/>
      <c r="S13" s="103"/>
    </row>
    <row r="14" spans="1:19" ht="11.25" customHeight="1">
      <c r="A14" s="117"/>
      <c r="B14" s="118" t="str">
        <f>C!B14</f>
        <v>broj dobrih</v>
      </c>
      <c r="C14" s="131" t="str">
        <f>C!C14</f>
        <v>Nema</v>
      </c>
      <c r="D14" s="132"/>
      <c r="E14" s="133" t="str">
        <f>C!G14</f>
        <v>procenat dobrih</v>
      </c>
      <c r="F14" s="134"/>
      <c r="G14" s="134"/>
      <c r="H14" s="140"/>
      <c r="I14" s="135" t="str">
        <f>C!K14</f>
        <v>Nema</v>
      </c>
      <c r="J14" s="135"/>
      <c r="L14" s="118" t="s">
        <v>100</v>
      </c>
      <c r="M14" s="141"/>
      <c r="N14" s="137">
        <f>C!E8</f>
        <v>0</v>
      </c>
      <c r="O14" s="138"/>
      <c r="P14" s="139"/>
      <c r="Q14" s="135">
        <f>C!Q15</f>
        <v>0</v>
      </c>
      <c r="R14" s="135"/>
      <c r="S14" s="103"/>
    </row>
    <row r="15" spans="1:19" ht="11.25" customHeight="1">
      <c r="A15" s="117"/>
      <c r="B15" s="118" t="str">
        <f>C!B15</f>
        <v>broj dovoljnih</v>
      </c>
      <c r="C15" s="131" t="str">
        <f>C!C15</f>
        <v>Nema</v>
      </c>
      <c r="D15" s="132"/>
      <c r="E15" s="133" t="str">
        <f>C!G15</f>
        <v>procenat dovoljnih</v>
      </c>
      <c r="F15" s="134"/>
      <c r="G15" s="134"/>
      <c r="H15" s="140"/>
      <c r="I15" s="135" t="str">
        <f>C!K15</f>
        <v>Nema</v>
      </c>
      <c r="J15" s="135"/>
      <c r="L15" s="118" t="s">
        <v>101</v>
      </c>
      <c r="M15" s="141"/>
      <c r="N15" s="137">
        <f>C!F8</f>
        <v>0</v>
      </c>
      <c r="O15" s="138"/>
      <c r="P15" s="139"/>
      <c r="Q15" s="135">
        <f>C!Q16</f>
        <v>0</v>
      </c>
      <c r="R15" s="135"/>
      <c r="S15" s="103"/>
    </row>
    <row r="16" spans="1:19" ht="11.25" customHeight="1">
      <c r="A16" s="117"/>
      <c r="B16" s="118" t="str">
        <f>C!B16</f>
        <v>broj nedovoljnih</v>
      </c>
      <c r="C16" s="131">
        <f>C!C16</f>
        <v>8</v>
      </c>
      <c r="D16" s="132"/>
      <c r="E16" s="133" t="str">
        <f>C!G16</f>
        <v>procenat nedovoljnih</v>
      </c>
      <c r="F16" s="134"/>
      <c r="G16" s="134"/>
      <c r="H16" s="140"/>
      <c r="I16" s="135">
        <f>C!K16</f>
        <v>0.3636355371919609</v>
      </c>
      <c r="J16" s="135"/>
      <c r="K16" s="142"/>
      <c r="L16" s="143" t="s">
        <v>102</v>
      </c>
      <c r="M16" s="144"/>
      <c r="N16" s="137">
        <f>C!G8</f>
        <v>1</v>
      </c>
      <c r="O16" s="138"/>
      <c r="P16" s="139"/>
      <c r="Q16" s="135">
        <f>C!Q17</f>
        <v>0.0034843199504669075</v>
      </c>
      <c r="R16" s="135"/>
      <c r="S16" s="103"/>
    </row>
    <row r="17" spans="1:19" ht="11.25" customHeight="1">
      <c r="A17" s="117"/>
      <c r="B17" s="118" t="str">
        <f>C!B17</f>
        <v>broj neocenjenih</v>
      </c>
      <c r="C17" s="131" t="str">
        <f>C!C17</f>
        <v>Nema</v>
      </c>
      <c r="D17" s="132"/>
      <c r="E17" s="133" t="str">
        <f>C!G17</f>
        <v>procenat neocenjenih</v>
      </c>
      <c r="F17" s="134"/>
      <c r="G17" s="134"/>
      <c r="H17" s="140"/>
      <c r="I17" s="135" t="str">
        <f>C!K17</f>
        <v>Nema</v>
      </c>
      <c r="J17" s="135"/>
      <c r="K17" s="142"/>
      <c r="L17" s="143" t="s">
        <v>103</v>
      </c>
      <c r="M17" s="144"/>
      <c r="N17" s="137">
        <f>C!H8</f>
        <v>0</v>
      </c>
      <c r="O17" s="138"/>
      <c r="P17" s="145"/>
      <c r="Q17" s="135">
        <f>C!Q18</f>
        <v>0</v>
      </c>
      <c r="R17" s="135"/>
      <c r="S17" s="103"/>
    </row>
    <row r="18" spans="1:19" ht="11.25" customHeight="1">
      <c r="A18" s="117"/>
      <c r="B18" s="118" t="str">
        <f>C!B18</f>
        <v>ukupno pozitivnih</v>
      </c>
      <c r="C18" s="131">
        <f>IF(C!C18=0,"Nema",C!C18)</f>
        <v>14</v>
      </c>
      <c r="D18" s="146"/>
      <c r="E18" s="133" t="str">
        <f>C!G18</f>
        <v>procenat pozitivnih</v>
      </c>
      <c r="F18" s="134"/>
      <c r="G18" s="134"/>
      <c r="H18" s="140"/>
      <c r="I18" s="135">
        <f>C!K18</f>
        <v>0.6363621900859315</v>
      </c>
      <c r="J18" s="135"/>
      <c r="K18" s="142"/>
      <c r="L18" s="143" t="s">
        <v>104</v>
      </c>
      <c r="M18" s="147"/>
      <c r="N18" s="137">
        <f>C!I8</f>
        <v>6</v>
      </c>
      <c r="O18" s="138"/>
      <c r="P18" s="99"/>
      <c r="Q18" s="135">
        <f>C!Q19</f>
        <v>0.020905919702801444</v>
      </c>
      <c r="R18" s="135"/>
      <c r="S18" s="103"/>
    </row>
    <row r="19" spans="1:19" ht="11.25" customHeight="1">
      <c r="A19" s="117"/>
      <c r="B19" s="118" t="s">
        <v>105</v>
      </c>
      <c r="C19" s="148"/>
      <c r="D19" s="130"/>
      <c r="E19" s="149" t="s">
        <v>106</v>
      </c>
      <c r="F19" s="130"/>
      <c r="G19" s="130"/>
      <c r="H19" s="130"/>
      <c r="I19" s="130"/>
      <c r="J19" s="99"/>
      <c r="K19" s="142"/>
      <c r="L19" s="143" t="s">
        <v>107</v>
      </c>
      <c r="M19" s="147"/>
      <c r="N19" s="137">
        <f>C!J8</f>
        <v>6</v>
      </c>
      <c r="O19" s="138"/>
      <c r="P19" s="99"/>
      <c r="Q19" s="135">
        <f>C!Q20</f>
        <v>0.020905919702801444</v>
      </c>
      <c r="R19" s="135"/>
      <c r="S19" s="103"/>
    </row>
    <row r="20" spans="1:19" ht="11.25" customHeight="1">
      <c r="A20" s="117"/>
      <c r="B20" s="118" t="str">
        <f>C!B20</f>
        <v>sa 1 slabom</v>
      </c>
      <c r="C20" s="137">
        <f>C!C20</f>
        <v>1</v>
      </c>
      <c r="D20" s="130"/>
      <c r="E20" s="133" t="str">
        <f>C!G20</f>
        <v>učenika sa 1. slabom</v>
      </c>
      <c r="F20" s="149"/>
      <c r="G20" s="149"/>
      <c r="H20" s="149"/>
      <c r="I20" s="135">
        <f>C!K20</f>
        <v>0.04545444214899511</v>
      </c>
      <c r="J20" s="135"/>
      <c r="K20" s="142"/>
      <c r="L20" s="143" t="s">
        <v>108</v>
      </c>
      <c r="M20" s="147"/>
      <c r="N20" s="137">
        <f>C!K8</f>
        <v>0</v>
      </c>
      <c r="O20" s="138"/>
      <c r="P20" s="130"/>
      <c r="Q20" s="135">
        <f>C!Q21</f>
        <v>0</v>
      </c>
      <c r="R20" s="135"/>
      <c r="S20" s="103"/>
    </row>
    <row r="21" spans="1:19" ht="11.25" customHeight="1">
      <c r="A21" s="117"/>
      <c r="B21" s="118" t="str">
        <f>C!B21</f>
        <v>sa 2 slabe  </v>
      </c>
      <c r="C21" s="137">
        <f>C!C21</f>
        <v>4</v>
      </c>
      <c r="D21" s="130"/>
      <c r="E21" s="133" t="str">
        <f>C!G21</f>
        <v>učenika sa 2. slabe</v>
      </c>
      <c r="F21" s="149"/>
      <c r="G21" s="149"/>
      <c r="H21" s="149"/>
      <c r="I21" s="135">
        <f>C!K21</f>
        <v>0.18181776859598045</v>
      </c>
      <c r="J21" s="135"/>
      <c r="K21" s="142"/>
      <c r="L21" s="97" t="s">
        <v>109</v>
      </c>
      <c r="M21" s="147"/>
      <c r="N21" s="137">
        <f>C!L8</f>
        <v>0</v>
      </c>
      <c r="O21" s="138"/>
      <c r="P21" s="130"/>
      <c r="Q21" s="135">
        <f>C!Q22</f>
        <v>0</v>
      </c>
      <c r="R21" s="135"/>
      <c r="S21" s="103"/>
    </row>
    <row r="22" spans="1:19" ht="11.25" customHeight="1">
      <c r="A22" s="117"/>
      <c r="B22" s="118" t="str">
        <f>C!B22</f>
        <v>sa 3 i više slabih</v>
      </c>
      <c r="C22" s="137">
        <f>C!C22</f>
        <v>3</v>
      </c>
      <c r="D22" s="130"/>
      <c r="E22" s="133" t="str">
        <f>C!G22</f>
        <v>učenika sa 3. i više slabih</v>
      </c>
      <c r="F22" s="149"/>
      <c r="G22" s="149"/>
      <c r="H22" s="149"/>
      <c r="I22" s="135">
        <f>C!K22</f>
        <v>0.13636332644698534</v>
      </c>
      <c r="J22" s="135"/>
      <c r="K22" s="142"/>
      <c r="L22" s="97" t="s">
        <v>110</v>
      </c>
      <c r="M22" s="147"/>
      <c r="N22" s="137">
        <f>C!M8</f>
        <v>0</v>
      </c>
      <c r="O22" s="138"/>
      <c r="P22" s="130"/>
      <c r="Q22" s="135">
        <f>C!Q23</f>
        <v>0</v>
      </c>
      <c r="R22" s="135"/>
      <c r="S22" s="103"/>
    </row>
    <row r="23" spans="1:19" ht="11.25" customHeight="1">
      <c r="A23" s="117"/>
      <c r="B23" s="118" t="str">
        <f>C!B23</f>
        <v>sa 4 i više slabih</v>
      </c>
      <c r="C23" s="137" t="str">
        <f>C!C23</f>
        <v>Nema</v>
      </c>
      <c r="D23" s="130"/>
      <c r="E23" s="133" t="str">
        <f>C!G23</f>
        <v>učenika sa 4. i više slabih</v>
      </c>
      <c r="F23" s="149"/>
      <c r="G23" s="149"/>
      <c r="H23" s="149"/>
      <c r="I23" s="135" t="str">
        <f>C!K23</f>
        <v>Nema</v>
      </c>
      <c r="J23" s="135"/>
      <c r="K23" s="142"/>
      <c r="L23" s="128" t="s">
        <v>111</v>
      </c>
      <c r="M23" s="150"/>
      <c r="N23" s="137">
        <f>C!N8</f>
        <v>0</v>
      </c>
      <c r="O23" s="138"/>
      <c r="P23" s="130"/>
      <c r="Q23" s="135">
        <f>C!Q24</f>
        <v>0</v>
      </c>
      <c r="R23" s="135"/>
      <c r="S23" s="103"/>
    </row>
    <row r="24" spans="1:19" ht="11.25" customHeight="1">
      <c r="A24" s="117"/>
      <c r="B24" s="118" t="str">
        <f>C!B24</f>
        <v>sa 5 i više slabih</v>
      </c>
      <c r="C24" s="137" t="str">
        <f>C!C24</f>
        <v>Nema</v>
      </c>
      <c r="D24" s="130"/>
      <c r="E24" s="133" t="str">
        <f>C!G24</f>
        <v>učenika sa 5. i više slabih</v>
      </c>
      <c r="F24" s="149"/>
      <c r="G24" s="149"/>
      <c r="H24" s="149"/>
      <c r="I24" s="135" t="str">
        <f>C!K24</f>
        <v>Nema</v>
      </c>
      <c r="J24" s="135"/>
      <c r="L24" s="128" t="s">
        <v>112</v>
      </c>
      <c r="M24" s="150"/>
      <c r="N24" s="137">
        <f>C!O8</f>
        <v>0</v>
      </c>
      <c r="O24" s="138"/>
      <c r="P24" s="130"/>
      <c r="Q24" s="135" t="str">
        <f>C!Q25</f>
        <v>Nema</v>
      </c>
      <c r="R24" s="135"/>
      <c r="S24" s="103"/>
    </row>
    <row r="25" spans="1:19" ht="11.25" customHeight="1">
      <c r="A25" s="117"/>
      <c r="B25" s="118"/>
      <c r="C25" s="138"/>
      <c r="D25" s="130"/>
      <c r="E25" s="133"/>
      <c r="F25" s="149"/>
      <c r="G25" s="149"/>
      <c r="H25" s="149"/>
      <c r="I25" s="151"/>
      <c r="J25" s="152"/>
      <c r="K25" s="130"/>
      <c r="L25" s="128" t="s">
        <v>113</v>
      </c>
      <c r="M25" s="150"/>
      <c r="N25" s="137">
        <f>C!P8</f>
        <v>2</v>
      </c>
      <c r="O25" s="138"/>
      <c r="P25" s="130"/>
      <c r="Q25" s="135">
        <f>C!Q26</f>
        <v>0.006968639900933815</v>
      </c>
      <c r="R25" s="135"/>
      <c r="S25" s="103"/>
    </row>
    <row r="26" spans="1:19" ht="11.25" customHeight="1">
      <c r="A26" s="117"/>
      <c r="B26" s="153"/>
      <c r="C26" s="154"/>
      <c r="D26" s="155"/>
      <c r="E26" s="153"/>
      <c r="F26" s="153"/>
      <c r="G26" s="153"/>
      <c r="H26" s="154"/>
      <c r="I26" s="154"/>
      <c r="J26" s="154"/>
      <c r="K26" s="156"/>
      <c r="L26" s="97"/>
      <c r="M26" s="150"/>
      <c r="N26" s="150"/>
      <c r="O26" s="150"/>
      <c r="P26" s="130"/>
      <c r="Q26" s="130"/>
      <c r="R26" s="130"/>
      <c r="S26" s="103"/>
    </row>
    <row r="27" spans="1:19" ht="11.25" customHeight="1">
      <c r="A27" s="117"/>
      <c r="B27" s="157"/>
      <c r="C27" s="158" t="s">
        <v>114</v>
      </c>
      <c r="D27" s="158"/>
      <c r="E27" s="158" t="s">
        <v>115</v>
      </c>
      <c r="F27" s="158"/>
      <c r="G27" s="158" t="s">
        <v>116</v>
      </c>
      <c r="H27" s="158"/>
      <c r="I27" s="159" t="s">
        <v>117</v>
      </c>
      <c r="J27" s="69"/>
      <c r="K27" s="113"/>
      <c r="L27" s="97" t="s">
        <v>118</v>
      </c>
      <c r="M27" s="160"/>
      <c r="N27" s="99"/>
      <c r="O27" s="99"/>
      <c r="P27" s="99"/>
      <c r="Q27" s="98" t="s">
        <v>119</v>
      </c>
      <c r="R27" s="99"/>
      <c r="S27" s="103"/>
    </row>
    <row r="28" spans="1:19" ht="11.25" customHeight="1">
      <c r="A28" s="117"/>
      <c r="B28" s="161" t="s">
        <v>120</v>
      </c>
      <c r="C28" s="162" t="s">
        <v>121</v>
      </c>
      <c r="D28" s="163" t="s">
        <v>122</v>
      </c>
      <c r="E28" s="162" t="s">
        <v>121</v>
      </c>
      <c r="F28" s="164" t="s">
        <v>121</v>
      </c>
      <c r="G28" s="162" t="s">
        <v>122</v>
      </c>
      <c r="H28" s="164" t="s">
        <v>122</v>
      </c>
      <c r="I28" s="163" t="s">
        <v>121</v>
      </c>
      <c r="J28" s="164" t="s">
        <v>123</v>
      </c>
      <c r="K28" s="165"/>
      <c r="L28" s="118" t="s">
        <v>124</v>
      </c>
      <c r="M28" s="136"/>
      <c r="N28" s="166">
        <f>Q4</f>
        <v>148</v>
      </c>
      <c r="O28" s="139"/>
      <c r="P28" s="139"/>
      <c r="Q28" s="167">
        <f>E!P28</f>
        <v>0.5156793526691024</v>
      </c>
      <c r="R28" s="167"/>
      <c r="S28" s="103"/>
    </row>
    <row r="29" spans="1:19" ht="11.25" customHeight="1">
      <c r="A29" s="117"/>
      <c r="B29" s="118" t="s">
        <v>125</v>
      </c>
      <c r="C29" s="168">
        <f>C!C29</f>
        <v>7</v>
      </c>
      <c r="D29" s="169">
        <f>C!D29</f>
        <v>98</v>
      </c>
      <c r="E29" s="170">
        <f>C!E29</f>
        <v>15</v>
      </c>
      <c r="F29" s="171">
        <f>C!F29</f>
        <v>777</v>
      </c>
      <c r="G29" s="172">
        <f>C!L29</f>
        <v>0</v>
      </c>
      <c r="H29" s="173">
        <f>C!U29</f>
        <v>0</v>
      </c>
      <c r="I29" s="174">
        <f>C!I29</f>
        <v>22</v>
      </c>
      <c r="J29" s="175">
        <f>C!J29</f>
        <v>875</v>
      </c>
      <c r="K29" s="165"/>
      <c r="L29" s="118" t="s">
        <v>126</v>
      </c>
      <c r="M29" s="141"/>
      <c r="N29" s="166">
        <f>Q5</f>
        <v>44</v>
      </c>
      <c r="O29" s="139"/>
      <c r="P29" s="139"/>
      <c r="Q29" s="167">
        <f>E!P29</f>
        <v>0.15331007782054393</v>
      </c>
      <c r="R29" s="167"/>
      <c r="S29" s="103"/>
    </row>
    <row r="30" spans="1:19" ht="11.25" customHeight="1">
      <c r="A30" s="117"/>
      <c r="B30" s="118" t="s">
        <v>127</v>
      </c>
      <c r="C30" s="170">
        <f>C!C30</f>
        <v>0</v>
      </c>
      <c r="D30" s="171">
        <f>C!D30</f>
        <v>0</v>
      </c>
      <c r="E30" s="168">
        <f>C!E30</f>
        <v>0</v>
      </c>
      <c r="F30" s="169">
        <f>C!F30</f>
        <v>0</v>
      </c>
      <c r="G30" s="176">
        <f>C!L30</f>
        <v>0</v>
      </c>
      <c r="H30" s="175">
        <f>C!U30</f>
        <v>0</v>
      </c>
      <c r="I30" s="174">
        <f>C!I30</f>
        <v>0</v>
      </c>
      <c r="J30" s="175">
        <f>C!J30</f>
        <v>0</v>
      </c>
      <c r="K30" s="165"/>
      <c r="L30" s="118" t="s">
        <v>128</v>
      </c>
      <c r="M30" s="141"/>
      <c r="N30" s="166">
        <f>Q6</f>
        <v>42</v>
      </c>
      <c r="O30" s="139"/>
      <c r="P30" s="139"/>
      <c r="Q30" s="167">
        <f>E!P30</f>
        <v>0.14634143791961013</v>
      </c>
      <c r="R30" s="167"/>
      <c r="S30" s="103"/>
    </row>
    <row r="31" spans="1:19" ht="11.25" customHeight="1">
      <c r="A31" s="117" t="s">
        <v>129</v>
      </c>
      <c r="B31" s="113" t="s">
        <v>130</v>
      </c>
      <c r="C31" s="168">
        <f>C!C31</f>
        <v>7</v>
      </c>
      <c r="D31" s="169">
        <f>C!D31</f>
        <v>98</v>
      </c>
      <c r="E31" s="168">
        <f>C!E31</f>
        <v>15</v>
      </c>
      <c r="F31" s="169">
        <f>C!F31</f>
        <v>777</v>
      </c>
      <c r="G31" s="168">
        <f>C!L31</f>
        <v>0</v>
      </c>
      <c r="H31" s="169">
        <f>C!U31</f>
        <v>0</v>
      </c>
      <c r="I31" s="168">
        <f>C!I31</f>
        <v>22</v>
      </c>
      <c r="J31" s="169">
        <f>C!J31</f>
        <v>875</v>
      </c>
      <c r="K31" s="165"/>
      <c r="L31" s="118" t="s">
        <v>131</v>
      </c>
      <c r="M31" s="141"/>
      <c r="N31" s="166">
        <f>Q7</f>
        <v>35</v>
      </c>
      <c r="O31" s="139"/>
      <c r="P31" s="139"/>
      <c r="Q31" s="167">
        <f>E!P31</f>
        <v>0.12195119826634176</v>
      </c>
      <c r="R31" s="167"/>
      <c r="S31" s="103"/>
    </row>
    <row r="32" spans="1:19" ht="11.25" customHeight="1">
      <c r="A32" s="117"/>
      <c r="B32" s="118"/>
      <c r="C32" s="177"/>
      <c r="D32" s="177"/>
      <c r="E32" s="177"/>
      <c r="F32" s="177"/>
      <c r="G32" s="177"/>
      <c r="H32" s="177"/>
      <c r="I32" s="178"/>
      <c r="J32" s="178"/>
      <c r="K32" s="179"/>
      <c r="L32" s="118" t="s">
        <v>132</v>
      </c>
      <c r="M32" s="141"/>
      <c r="N32" s="166">
        <f>Q8</f>
        <v>18</v>
      </c>
      <c r="O32" s="139"/>
      <c r="P32" s="139"/>
      <c r="Q32" s="167">
        <f>E!P32</f>
        <v>0.06271775910840434</v>
      </c>
      <c r="R32" s="167"/>
      <c r="S32" s="103"/>
    </row>
    <row r="33" spans="1:19" ht="11.25" customHeight="1">
      <c r="A33" s="117"/>
      <c r="B33" s="118"/>
      <c r="C33" s="180" t="s">
        <v>133</v>
      </c>
      <c r="D33" s="180"/>
      <c r="E33" s="180" t="s">
        <v>134</v>
      </c>
      <c r="F33" s="180"/>
      <c r="G33" s="180" t="s">
        <v>135</v>
      </c>
      <c r="H33" s="180"/>
      <c r="I33" s="181" t="s">
        <v>84</v>
      </c>
      <c r="J33" s="181"/>
      <c r="K33" s="179"/>
      <c r="L33" s="157"/>
      <c r="M33" s="157"/>
      <c r="N33" s="130"/>
      <c r="O33" s="130"/>
      <c r="P33" s="130"/>
      <c r="Q33" s="130"/>
      <c r="R33" s="130"/>
      <c r="S33" s="103"/>
    </row>
    <row r="34" spans="1:19" ht="11.25" customHeight="1">
      <c r="A34" s="117"/>
      <c r="B34" s="118" t="s">
        <v>136</v>
      </c>
      <c r="C34" s="182" t="s">
        <v>121</v>
      </c>
      <c r="D34" s="182" t="s">
        <v>122</v>
      </c>
      <c r="E34" s="182" t="s">
        <v>121</v>
      </c>
      <c r="F34" s="182" t="s">
        <v>122</v>
      </c>
      <c r="G34" s="182" t="s">
        <v>121</v>
      </c>
      <c r="H34" s="182" t="s">
        <v>122</v>
      </c>
      <c r="I34" s="182" t="s">
        <v>121</v>
      </c>
      <c r="J34" s="183" t="s">
        <v>123</v>
      </c>
      <c r="K34" s="184"/>
      <c r="L34" s="97" t="s">
        <v>137</v>
      </c>
      <c r="M34" s="160"/>
      <c r="N34" s="99"/>
      <c r="O34" s="99"/>
      <c r="P34" s="99"/>
      <c r="Q34" s="98" t="s">
        <v>119</v>
      </c>
      <c r="R34" s="99"/>
      <c r="S34" s="103"/>
    </row>
    <row r="35" spans="1:19" ht="11.25" customHeight="1">
      <c r="A35" s="117"/>
      <c r="B35" s="113" t="s">
        <v>125</v>
      </c>
      <c r="C35" s="185">
        <f>C!C35</f>
        <v>4</v>
      </c>
      <c r="D35" s="186">
        <f>C!D35</f>
        <v>48</v>
      </c>
      <c r="E35" s="185">
        <f>C!E35</f>
        <v>1</v>
      </c>
      <c r="F35" s="186">
        <f>C!F35</f>
        <v>21</v>
      </c>
      <c r="G35" s="185">
        <f>C!G35</f>
        <v>0</v>
      </c>
      <c r="H35" s="186">
        <f>C!H35</f>
        <v>0</v>
      </c>
      <c r="I35" s="185">
        <f>C!I35</f>
        <v>13</v>
      </c>
      <c r="J35" s="186">
        <f>C!J35</f>
        <v>96</v>
      </c>
      <c r="K35" s="184"/>
      <c r="L35" s="118" t="s">
        <v>138</v>
      </c>
      <c r="M35" s="136"/>
      <c r="N35" s="166">
        <f>E!T4</f>
        <v>17</v>
      </c>
      <c r="O35" s="139"/>
      <c r="P35" s="139"/>
      <c r="Q35" s="187">
        <f>E!K4</f>
        <v>0.772725516532917</v>
      </c>
      <c r="R35" s="187"/>
      <c r="S35" s="103"/>
    </row>
    <row r="36" spans="1:19" ht="11.25" customHeight="1">
      <c r="A36" s="117"/>
      <c r="B36" s="118" t="s">
        <v>127</v>
      </c>
      <c r="C36" s="185">
        <f>C!C36</f>
        <v>0</v>
      </c>
      <c r="D36" s="186">
        <f>C!D36</f>
        <v>0</v>
      </c>
      <c r="E36" s="185">
        <f>C!E36</f>
        <v>0</v>
      </c>
      <c r="F36" s="186">
        <f>C!F36</f>
        <v>0</v>
      </c>
      <c r="G36" s="188">
        <f>C!G36</f>
        <v>0</v>
      </c>
      <c r="H36" s="189">
        <f>C!H36</f>
        <v>0</v>
      </c>
      <c r="I36" s="188">
        <f>C!I36</f>
        <v>0</v>
      </c>
      <c r="J36" s="189">
        <f>C!J36</f>
        <v>0</v>
      </c>
      <c r="K36" s="184"/>
      <c r="L36" s="118" t="s">
        <v>139</v>
      </c>
      <c r="M36" s="141"/>
      <c r="N36" s="166">
        <f>E!T5</f>
        <v>3</v>
      </c>
      <c r="O36" s="139"/>
      <c r="P36" s="139"/>
      <c r="Q36" s="187">
        <f>E!K5</f>
        <v>0.13636332644698534</v>
      </c>
      <c r="R36" s="187"/>
      <c r="S36" s="103"/>
    </row>
    <row r="37" spans="1:19" ht="11.25" customHeight="1">
      <c r="A37" s="117"/>
      <c r="B37" s="118" t="s">
        <v>130</v>
      </c>
      <c r="C37" s="185">
        <f>C!C37</f>
        <v>4</v>
      </c>
      <c r="D37" s="186">
        <f>C!D37</f>
        <v>48</v>
      </c>
      <c r="E37" s="185">
        <f>C!E37</f>
        <v>1</v>
      </c>
      <c r="F37" s="186">
        <f>C!F37</f>
        <v>21</v>
      </c>
      <c r="G37" s="185">
        <f>C!G37</f>
        <v>0</v>
      </c>
      <c r="H37" s="186">
        <f>C!H37</f>
        <v>0</v>
      </c>
      <c r="I37" s="185">
        <f>C!I37</f>
        <v>13</v>
      </c>
      <c r="J37" s="186">
        <f>C!J37</f>
        <v>96</v>
      </c>
      <c r="K37" s="184"/>
      <c r="L37" s="118" t="s">
        <v>140</v>
      </c>
      <c r="M37" s="141"/>
      <c r="N37" s="166">
        <f>E!T6</f>
        <v>2</v>
      </c>
      <c r="O37" s="139"/>
      <c r="P37" s="139"/>
      <c r="Q37" s="187">
        <f>E!K6</f>
        <v>0.09090888429799023</v>
      </c>
      <c r="R37" s="187"/>
      <c r="S37" s="103"/>
    </row>
    <row r="38" spans="1:19" ht="11.25" customHeight="1">
      <c r="A38" s="117"/>
      <c r="B38" s="118"/>
      <c r="C38" s="138"/>
      <c r="D38" s="138"/>
      <c r="E38" s="138"/>
      <c r="F38" s="138"/>
      <c r="G38" s="138"/>
      <c r="H38" s="138"/>
      <c r="I38" s="138"/>
      <c r="J38" s="190"/>
      <c r="K38" s="184"/>
      <c r="L38" s="118" t="s">
        <v>141</v>
      </c>
      <c r="M38" s="141"/>
      <c r="N38" s="166">
        <f>E!T7</f>
        <v>0</v>
      </c>
      <c r="O38" s="139"/>
      <c r="P38" s="139"/>
      <c r="Q38" s="187">
        <f>E!K7</f>
        <v>0</v>
      </c>
      <c r="R38" s="187"/>
      <c r="S38" s="191"/>
    </row>
    <row r="39" spans="1:19" ht="11.25" customHeight="1">
      <c r="A39" s="117"/>
      <c r="B39" s="149" t="s">
        <v>142</v>
      </c>
      <c r="C39" s="130"/>
      <c r="D39" s="130"/>
      <c r="E39" s="130"/>
      <c r="F39" s="130"/>
      <c r="G39" s="130"/>
      <c r="H39" s="192"/>
      <c r="I39" s="193">
        <f>C!H39</f>
        <v>971</v>
      </c>
      <c r="J39" s="194">
        <f>C!I39</f>
        <v>44.13636363636363</v>
      </c>
      <c r="K39" s="195"/>
      <c r="L39" s="118" t="s">
        <v>143</v>
      </c>
      <c r="M39" s="141"/>
      <c r="N39" s="166">
        <f>E!T8</f>
        <v>0</v>
      </c>
      <c r="O39" s="139"/>
      <c r="P39" s="139"/>
      <c r="Q39" s="187">
        <f>E!K8</f>
        <v>0</v>
      </c>
      <c r="R39" s="187"/>
      <c r="S39" s="191"/>
    </row>
    <row r="40" spans="1:19" ht="11.25" customHeight="1">
      <c r="A40" s="117"/>
      <c r="B40" s="149" t="s">
        <v>144</v>
      </c>
      <c r="C40" s="130"/>
      <c r="D40" s="130"/>
      <c r="E40" s="130"/>
      <c r="F40" s="130"/>
      <c r="G40" s="130"/>
      <c r="H40" s="192"/>
      <c r="I40" s="193">
        <f>C!H40</f>
        <v>0</v>
      </c>
      <c r="J40" s="194">
        <f>C!I40</f>
        <v>0</v>
      </c>
      <c r="K40" s="195"/>
      <c r="L40" s="118" t="s">
        <v>145</v>
      </c>
      <c r="M40" s="157"/>
      <c r="N40" s="196">
        <f>E!T9</f>
        <v>4.681818181818182</v>
      </c>
      <c r="O40" s="197"/>
      <c r="P40" s="130"/>
      <c r="Q40" s="198">
        <f>(N40*2)/10</f>
        <v>0.9363636363636363</v>
      </c>
      <c r="R40" s="198"/>
      <c r="S40" s="191"/>
    </row>
    <row r="41" spans="1:19" ht="11.25" customHeight="1">
      <c r="A41" s="117"/>
      <c r="B41" s="149" t="s">
        <v>146</v>
      </c>
      <c r="C41" s="130"/>
      <c r="D41" s="130"/>
      <c r="E41" s="130"/>
      <c r="F41" s="130"/>
      <c r="G41" s="130"/>
      <c r="H41" s="192"/>
      <c r="I41" s="199">
        <f>C!H41</f>
        <v>971</v>
      </c>
      <c r="J41" s="194">
        <f>C!I41</f>
        <v>44.13636363636363</v>
      </c>
      <c r="K41" s="195"/>
      <c r="L41" s="130"/>
      <c r="M41" s="130"/>
      <c r="N41" s="113"/>
      <c r="O41" s="113"/>
      <c r="P41" s="145"/>
      <c r="Q41" s="139"/>
      <c r="R41" s="139"/>
      <c r="S41" s="191"/>
    </row>
    <row r="42" spans="1:19" ht="11.25" customHeight="1">
      <c r="A42" s="117"/>
      <c r="B42" s="200"/>
      <c r="C42" s="195"/>
      <c r="D42" s="195"/>
      <c r="E42" s="195"/>
      <c r="F42" s="195"/>
      <c r="G42" s="195"/>
      <c r="H42" s="201"/>
      <c r="I42" s="195"/>
      <c r="J42" s="195"/>
      <c r="K42" s="195"/>
      <c r="N42" s="165"/>
      <c r="O42" s="165"/>
      <c r="P42" s="202"/>
      <c r="Q42" s="203"/>
      <c r="R42" s="203"/>
      <c r="S42" s="191"/>
    </row>
    <row r="43" spans="1:19" ht="11.25" customHeight="1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6"/>
    </row>
    <row r="44" spans="1:19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</sheetData>
  <mergeCells count="56">
    <mergeCell ref="Q1:R1"/>
    <mergeCell ref="Q3:R3"/>
    <mergeCell ref="Q4:R4"/>
    <mergeCell ref="Q5:R5"/>
    <mergeCell ref="Q6:R6"/>
    <mergeCell ref="Q7:R7"/>
    <mergeCell ref="Q8:R8"/>
    <mergeCell ref="Q9:R9"/>
    <mergeCell ref="I12:J12"/>
    <mergeCell ref="Q12:R12"/>
    <mergeCell ref="I13:J13"/>
    <mergeCell ref="Q13:R13"/>
    <mergeCell ref="I14:J14"/>
    <mergeCell ref="Q14:R14"/>
    <mergeCell ref="I15:J15"/>
    <mergeCell ref="Q15:R15"/>
    <mergeCell ref="I16:J16"/>
    <mergeCell ref="Q16:R16"/>
    <mergeCell ref="I17:J17"/>
    <mergeCell ref="Q17:R17"/>
    <mergeCell ref="I18:J18"/>
    <mergeCell ref="Q18:R18"/>
    <mergeCell ref="Q19:R19"/>
    <mergeCell ref="I20:J20"/>
    <mergeCell ref="Q20:R20"/>
    <mergeCell ref="I21:J21"/>
    <mergeCell ref="Q21:R21"/>
    <mergeCell ref="I22:J22"/>
    <mergeCell ref="Q22:R22"/>
    <mergeCell ref="I23:J23"/>
    <mergeCell ref="Q23:R23"/>
    <mergeCell ref="I24:J24"/>
    <mergeCell ref="Q24:R24"/>
    <mergeCell ref="Q25:R25"/>
    <mergeCell ref="C27:D27"/>
    <mergeCell ref="E27:F27"/>
    <mergeCell ref="G27:H27"/>
    <mergeCell ref="Q28:R28"/>
    <mergeCell ref="Q29:R29"/>
    <mergeCell ref="Q30:R30"/>
    <mergeCell ref="Q31:R31"/>
    <mergeCell ref="C32:D32"/>
    <mergeCell ref="E32:F32"/>
    <mergeCell ref="G32:H32"/>
    <mergeCell ref="I32:J32"/>
    <mergeCell ref="Q32:R32"/>
    <mergeCell ref="C33:D33"/>
    <mergeCell ref="E33:F33"/>
    <mergeCell ref="G33:H33"/>
    <mergeCell ref="I33:J33"/>
    <mergeCell ref="Q35:R35"/>
    <mergeCell ref="Q36:R36"/>
    <mergeCell ref="Q37:R37"/>
    <mergeCell ref="Q38:R38"/>
    <mergeCell ref="Q39:R39"/>
    <mergeCell ref="Q40:R40"/>
  </mergeCells>
  <printOptions horizontalCentered="1" verticalCentered="1"/>
  <pageMargins left="0.5" right="0.5" top="0.5" bottom="0.4840277777777778" header="0.5118055555555555" footer="0.5118055555555555"/>
  <pageSetup horizontalDpi="300" verticalDpi="300" orientation="landscape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18" sqref="A1:IV65536"/>
    </sheetView>
  </sheetViews>
  <sheetFormatPr defaultColWidth="9.140625" defaultRowHeight="12.75"/>
  <cols>
    <col min="1" max="1" width="4.28125" style="2" customWidth="1"/>
    <col min="2" max="2" width="23.7109375" style="2" customWidth="1"/>
    <col min="3" max="3" width="12.7109375" style="2" customWidth="1"/>
    <col min="4" max="4" width="9.00390625" style="2" customWidth="1"/>
    <col min="5" max="5" width="7.7109375" style="2" customWidth="1"/>
    <col min="6" max="6" width="3.7109375" style="2" customWidth="1"/>
    <col min="7" max="7" width="17.7109375" style="2" customWidth="1"/>
    <col min="8" max="8" width="5.7109375" style="207" customWidth="1"/>
    <col min="9" max="9" width="3.7109375" style="2" customWidth="1"/>
    <col min="10" max="10" width="18.7109375" style="2" customWidth="1"/>
    <col min="11" max="11" width="3.7109375" style="2" customWidth="1"/>
    <col min="12" max="12" width="9.8515625" style="2" customWidth="1"/>
    <col min="13" max="13" width="4.28125" style="2" customWidth="1"/>
    <col min="14" max="14" width="3.7109375" style="2" customWidth="1"/>
    <col min="15" max="16" width="9.00390625" style="2" customWidth="1"/>
    <col min="17" max="17" width="3.7109375" style="2" customWidth="1"/>
    <col min="18" max="16384" width="9.00390625" style="2" customWidth="1"/>
  </cols>
  <sheetData>
    <row r="1" spans="1:13" ht="15.75" customHeight="1">
      <c r="A1" s="208" t="s">
        <v>0</v>
      </c>
      <c r="B1" s="209" t="s">
        <v>147</v>
      </c>
      <c r="C1" s="210" t="s">
        <v>148</v>
      </c>
      <c r="D1" s="211" t="s">
        <v>80</v>
      </c>
      <c r="E1" s="212" t="s">
        <v>149</v>
      </c>
      <c r="F1" s="213"/>
      <c r="G1" s="212" t="s">
        <v>150</v>
      </c>
      <c r="H1" s="214"/>
      <c r="I1" s="215"/>
      <c r="J1" s="210" t="s">
        <v>151</v>
      </c>
      <c r="K1" s="212"/>
      <c r="L1" s="211" t="s">
        <v>152</v>
      </c>
      <c r="M1" s="216"/>
    </row>
    <row r="2" spans="1:13" ht="11.25" customHeight="1">
      <c r="A2" s="217">
        <v>1</v>
      </c>
      <c r="B2" s="218" t="str">
        <f>F!B2</f>
        <v>Andjelković Jelena</v>
      </c>
      <c r="C2" s="219" t="str">
        <f>F!C2</f>
        <v>odlican</v>
      </c>
      <c r="D2" s="220">
        <f>F!D2</f>
        <v>5</v>
      </c>
      <c r="E2" s="221">
        <f>F!E2</f>
      </c>
      <c r="F2" s="222"/>
      <c r="G2" s="219" t="str">
        <f>F!G2</f>
        <v>primerno</v>
      </c>
      <c r="H2" s="223" t="str">
        <f>F!H2</f>
        <v>( 5 )</v>
      </c>
      <c r="I2" s="224"/>
      <c r="J2" s="219" t="str">
        <f>F!J2</f>
        <v> </v>
      </c>
      <c r="K2" s="225"/>
      <c r="L2" s="226">
        <f>IF(F!L2=0,"",F!L2)</f>
        <v>5</v>
      </c>
      <c r="M2" s="227"/>
    </row>
    <row r="3" spans="1:13" ht="11.25" customHeight="1">
      <c r="A3" s="217">
        <v>2</v>
      </c>
      <c r="B3" s="218" t="str">
        <f>F!B3</f>
        <v>Blagojević Nenad</v>
      </c>
      <c r="C3" s="219" t="str">
        <f>F!C3</f>
        <v>nedovoljan</v>
      </c>
      <c r="D3" s="220">
        <f>F!D3</f>
        <v>0</v>
      </c>
      <c r="E3" s="221">
        <f>F!E3</f>
        <v>3</v>
      </c>
      <c r="F3" s="222"/>
      <c r="G3" s="219" t="str">
        <f>F!G3</f>
        <v>dobro</v>
      </c>
      <c r="H3" s="223" t="str">
        <f>F!H3</f>
        <v>( 3 )</v>
      </c>
      <c r="I3" s="228"/>
      <c r="J3" s="219" t="str">
        <f>F!J3</f>
        <v>Odeljenskog veća</v>
      </c>
      <c r="K3" s="225"/>
      <c r="L3" s="226">
        <f>IF(F!L3=0,"",F!L3)</f>
        <v>2.5833333333333335</v>
      </c>
      <c r="M3" s="227"/>
    </row>
    <row r="4" spans="1:13" ht="11.25" customHeight="1">
      <c r="A4" s="217">
        <v>3</v>
      </c>
      <c r="B4" s="218" t="str">
        <f>F!B4</f>
        <v>Bosanac Ana</v>
      </c>
      <c r="C4" s="219" t="str">
        <f>F!C4</f>
        <v>vrlodobar</v>
      </c>
      <c r="D4" s="220">
        <f>F!D4</f>
        <v>3.923076923076923</v>
      </c>
      <c r="E4" s="221">
        <f>F!E4</f>
      </c>
      <c r="F4" s="222"/>
      <c r="G4" s="219" t="str">
        <f>F!G4</f>
        <v>primerno</v>
      </c>
      <c r="H4" s="223" t="str">
        <f>F!H4</f>
        <v>( 5 )</v>
      </c>
      <c r="I4" s="229"/>
      <c r="J4" s="219" t="str">
        <f>F!J4</f>
        <v> </v>
      </c>
      <c r="K4" s="225"/>
      <c r="L4" s="226">
        <f>IF(F!L4=0,"",F!L4)</f>
        <v>4</v>
      </c>
      <c r="M4" s="230"/>
    </row>
    <row r="5" spans="1:13" ht="11.25" customHeight="1">
      <c r="A5" s="217">
        <v>4</v>
      </c>
      <c r="B5" s="218" t="str">
        <f>F!B5</f>
        <v>Brković Olivera</v>
      </c>
      <c r="C5" s="219" t="str">
        <f>F!C5</f>
        <v>odlican</v>
      </c>
      <c r="D5" s="220">
        <f>F!D5</f>
        <v>5</v>
      </c>
      <c r="E5" s="221">
        <f>F!E5</f>
      </c>
      <c r="F5" s="222"/>
      <c r="G5" s="219" t="str">
        <f>F!G5</f>
        <v>primerno</v>
      </c>
      <c r="H5" s="223" t="str">
        <f>F!H5</f>
        <v>( 5 )</v>
      </c>
      <c r="I5" s="228"/>
      <c r="J5" s="219" t="str">
        <f>F!J5</f>
        <v> </v>
      </c>
      <c r="K5" s="225"/>
      <c r="L5" s="226">
        <f>IF(F!L5=0,"",F!L5)</f>
        <v>5</v>
      </c>
      <c r="M5" s="227"/>
    </row>
    <row r="6" spans="1:13" ht="11.25" customHeight="1">
      <c r="A6" s="217">
        <v>5</v>
      </c>
      <c r="B6" s="218" t="str">
        <f>F!B6</f>
        <v>Veselinović Nemanja</v>
      </c>
      <c r="C6" s="219" t="str">
        <f>F!C6</f>
        <v>nedovoljan</v>
      </c>
      <c r="D6" s="220">
        <f>F!D6</f>
        <v>0</v>
      </c>
      <c r="E6" s="221">
        <f>F!E6</f>
        <v>2</v>
      </c>
      <c r="F6" s="222"/>
      <c r="G6" s="219" t="str">
        <f>F!G6</f>
        <v>dobro</v>
      </c>
      <c r="H6" s="223" t="str">
        <f>F!H6</f>
        <v>( 3 )</v>
      </c>
      <c r="I6" s="228"/>
      <c r="J6" s="219" t="str">
        <f>F!J6</f>
        <v>Odeljenskog veća</v>
      </c>
      <c r="K6" s="225"/>
      <c r="L6" s="226">
        <f>IF(F!L6=0,"",F!L6)</f>
        <v>3.230769230769231</v>
      </c>
      <c r="M6" s="227"/>
    </row>
    <row r="7" spans="1:13" ht="11.25" customHeight="1">
      <c r="A7" s="217">
        <v>6</v>
      </c>
      <c r="B7" s="218" t="str">
        <f>F!B7</f>
        <v>Gligorijević Grigorije</v>
      </c>
      <c r="C7" s="219" t="str">
        <f>F!C7</f>
        <v>nedovoljan</v>
      </c>
      <c r="D7" s="220">
        <f>F!D7</f>
        <v>0</v>
      </c>
      <c r="E7" s="221">
        <f>F!E7</f>
        <v>2</v>
      </c>
      <c r="F7" s="222"/>
      <c r="G7" s="219" t="str">
        <f>F!G7</f>
        <v>primerno</v>
      </c>
      <c r="H7" s="223" t="str">
        <f>F!H7</f>
        <v>( 5 )</v>
      </c>
      <c r="I7" s="225"/>
      <c r="J7" s="219" t="str">
        <f>F!J7</f>
        <v> </v>
      </c>
      <c r="K7" s="225"/>
      <c r="L7" s="226">
        <f>IF(F!L7=0,"",F!L7)</f>
        <v>3.6923076923076925</v>
      </c>
      <c r="M7" s="227"/>
    </row>
    <row r="8" spans="1:13" ht="11.25" customHeight="1">
      <c r="A8" s="217">
        <v>7</v>
      </c>
      <c r="B8" s="218" t="str">
        <f>F!B8</f>
        <v>Djordjević Ivana</v>
      </c>
      <c r="C8" s="219" t="str">
        <f>F!C8</f>
        <v>nedovoljan</v>
      </c>
      <c r="D8" s="220">
        <f>F!D8</f>
        <v>0</v>
      </c>
      <c r="E8" s="221">
        <f>F!E8</f>
        <v>1</v>
      </c>
      <c r="F8" s="222"/>
      <c r="G8" s="219" t="str">
        <f>F!G8</f>
        <v>primerno</v>
      </c>
      <c r="H8" s="223" t="str">
        <f>F!H8</f>
        <v>( 5 )</v>
      </c>
      <c r="I8" s="229"/>
      <c r="J8" s="219" t="str">
        <f>F!J8</f>
        <v> </v>
      </c>
      <c r="K8" s="225"/>
      <c r="L8" s="226">
        <f>IF(F!L8=0,"",F!L8)</f>
        <v>3.142857142857143</v>
      </c>
      <c r="M8" s="227"/>
    </row>
    <row r="9" spans="1:13" ht="11.25" customHeight="1">
      <c r="A9" s="217">
        <v>8</v>
      </c>
      <c r="B9" s="218" t="str">
        <f>F!B9</f>
        <v>Ivković Jelena</v>
      </c>
      <c r="C9" s="219" t="str">
        <f>F!C9</f>
        <v>vrlodobar</v>
      </c>
      <c r="D9" s="220">
        <f>F!D9</f>
        <v>4.416666666666667</v>
      </c>
      <c r="E9" s="221">
        <f>F!E9</f>
      </c>
      <c r="F9" s="222"/>
      <c r="G9" s="219" t="str">
        <f>F!G9</f>
        <v>primerno</v>
      </c>
      <c r="H9" s="223" t="str">
        <f>F!H9</f>
        <v>( 5 )</v>
      </c>
      <c r="I9" s="224"/>
      <c r="J9" s="219" t="str">
        <f>F!J9</f>
        <v> </v>
      </c>
      <c r="K9" s="225"/>
      <c r="L9" s="226">
        <f>IF(F!L9=0,"",F!L9)</f>
        <v>4.416666666666667</v>
      </c>
      <c r="M9" s="231"/>
    </row>
    <row r="10" spans="1:13" ht="11.25" customHeight="1">
      <c r="A10" s="217">
        <v>9</v>
      </c>
      <c r="B10" s="218" t="str">
        <f>F!B10</f>
        <v>Jelisavac Jovana</v>
      </c>
      <c r="C10" s="219" t="str">
        <f>F!C10</f>
        <v>odlican</v>
      </c>
      <c r="D10" s="220">
        <f>F!D10</f>
        <v>5</v>
      </c>
      <c r="E10" s="221">
        <f>F!E10</f>
      </c>
      <c r="F10" s="232"/>
      <c r="G10" s="219" t="str">
        <f>F!G10</f>
        <v>primerno</v>
      </c>
      <c r="H10" s="223" t="str">
        <f>F!H10</f>
        <v>( 5 )</v>
      </c>
      <c r="I10" s="225"/>
      <c r="J10" s="219" t="str">
        <f>F!J10</f>
        <v> </v>
      </c>
      <c r="K10" s="225"/>
      <c r="L10" s="226">
        <f>IF(F!L10=0,"",F!L10)</f>
        <v>5</v>
      </c>
      <c r="M10" s="231"/>
    </row>
    <row r="11" spans="1:13" ht="11.25" customHeight="1">
      <c r="A11" s="217">
        <v>10</v>
      </c>
      <c r="B11" s="218" t="str">
        <f>F!B11</f>
        <v>Knežić Filip</v>
      </c>
      <c r="C11" s="219" t="str">
        <f>F!C11</f>
        <v>vrlodobar</v>
      </c>
      <c r="D11" s="220">
        <f>F!D11</f>
        <v>3.6153846153846154</v>
      </c>
      <c r="E11" s="221">
        <f>F!E11</f>
      </c>
      <c r="F11" s="222"/>
      <c r="G11" s="219" t="str">
        <f>F!G11</f>
        <v>primerno</v>
      </c>
      <c r="H11" s="223" t="str">
        <f>F!H11</f>
        <v>( 5 )</v>
      </c>
      <c r="I11" s="225"/>
      <c r="J11" s="219" t="str">
        <f>F!J11</f>
        <v> </v>
      </c>
      <c r="K11" s="225"/>
      <c r="L11" s="226">
        <f>IF(F!L11=0,"",F!L11)</f>
        <v>3.642857142857143</v>
      </c>
      <c r="M11" s="231"/>
    </row>
    <row r="12" spans="1:13" ht="11.25" customHeight="1">
      <c r="A12" s="217">
        <v>11</v>
      </c>
      <c r="B12" s="218" t="str">
        <f>F!B12</f>
        <v>Lazarević Milena</v>
      </c>
      <c r="C12" s="219" t="str">
        <f>F!C12</f>
        <v>nedovoljan</v>
      </c>
      <c r="D12" s="220">
        <f>F!D12</f>
        <v>0</v>
      </c>
      <c r="E12" s="221">
        <f>F!E12</f>
        <v>2</v>
      </c>
      <c r="F12" s="222"/>
      <c r="G12" s="219" t="str">
        <f>F!G12</f>
        <v>vrlodobro</v>
      </c>
      <c r="H12" s="223" t="str">
        <f>F!H12</f>
        <v>( 4 )</v>
      </c>
      <c r="I12" s="229"/>
      <c r="J12" s="219" t="str">
        <f>F!J12</f>
        <v>Odeljenskog star.</v>
      </c>
      <c r="K12" s="225"/>
      <c r="L12" s="226">
        <f>IF(F!L12=0,"",F!L12)</f>
        <v>2.4166666666666665</v>
      </c>
      <c r="M12" s="231"/>
    </row>
    <row r="13" spans="1:13" ht="11.25" customHeight="1">
      <c r="A13" s="217">
        <v>12</v>
      </c>
      <c r="B13" s="218" t="str">
        <f>F!B13</f>
        <v>Masleša Marija</v>
      </c>
      <c r="C13" s="219" t="str">
        <f>F!C13</f>
        <v>odlican</v>
      </c>
      <c r="D13" s="220">
        <f>F!D13</f>
        <v>4.923076923076923</v>
      </c>
      <c r="E13" s="221">
        <f>F!E13</f>
      </c>
      <c r="F13" s="222"/>
      <c r="G13" s="219" t="str">
        <f>F!G13</f>
        <v>primerno</v>
      </c>
      <c r="H13" s="223" t="str">
        <f>F!H13</f>
        <v>( 5 )</v>
      </c>
      <c r="I13" s="228"/>
      <c r="J13" s="219" t="str">
        <f>F!J13</f>
        <v> </v>
      </c>
      <c r="K13" s="225"/>
      <c r="L13" s="226">
        <f>IF(F!L13=0,"",F!L13)</f>
        <v>4.928571428571429</v>
      </c>
      <c r="M13" s="233"/>
    </row>
    <row r="14" spans="1:13" ht="11.25" customHeight="1">
      <c r="A14" s="217">
        <v>13</v>
      </c>
      <c r="B14" s="218" t="str">
        <f>F!B14</f>
        <v>Mijajlović Marko</v>
      </c>
      <c r="C14" s="219" t="str">
        <f>F!C14</f>
        <v>vrlodobar</v>
      </c>
      <c r="D14" s="220">
        <f>F!D14</f>
        <v>4.333333333333333</v>
      </c>
      <c r="E14" s="221">
        <f>F!E14</f>
      </c>
      <c r="F14" s="222"/>
      <c r="G14" s="219" t="str">
        <f>F!G14</f>
        <v>primerno</v>
      </c>
      <c r="H14" s="223" t="str">
        <f>F!H14</f>
        <v>( 5 )</v>
      </c>
      <c r="I14" s="228"/>
      <c r="J14" s="219" t="str">
        <f>F!J14</f>
        <v> </v>
      </c>
      <c r="K14" s="225"/>
      <c r="L14" s="226">
        <f>IF(F!L14=0,"",F!L14)</f>
        <v>4.384615384615385</v>
      </c>
      <c r="M14" s="231"/>
    </row>
    <row r="15" spans="1:13" ht="11.25" customHeight="1">
      <c r="A15" s="217">
        <v>14</v>
      </c>
      <c r="B15" s="218" t="str">
        <f>F!B15</f>
        <v>Milanović Sara</v>
      </c>
      <c r="C15" s="219" t="str">
        <f>F!C15</f>
        <v>vrlodobar</v>
      </c>
      <c r="D15" s="220">
        <f>F!D15</f>
        <v>4.333333333333333</v>
      </c>
      <c r="E15" s="221">
        <f>F!E15</f>
      </c>
      <c r="F15" s="222"/>
      <c r="G15" s="219" t="str">
        <f>F!G15</f>
        <v>primerno</v>
      </c>
      <c r="H15" s="223" t="str">
        <f>F!H15</f>
        <v>( 5 )</v>
      </c>
      <c r="I15" s="228"/>
      <c r="J15" s="219" t="str">
        <f>F!J15</f>
        <v> </v>
      </c>
      <c r="K15" s="225"/>
      <c r="L15" s="226">
        <f>IF(F!L15=0,"",F!L15)</f>
        <v>4.333333333333333</v>
      </c>
      <c r="M15" s="231"/>
    </row>
    <row r="16" spans="1:13" ht="11.25" customHeight="1">
      <c r="A16" s="217">
        <v>15</v>
      </c>
      <c r="B16" s="218" t="str">
        <f>F!B16</f>
        <v>Milošević Stefan</v>
      </c>
      <c r="C16" s="219" t="str">
        <f>F!C16</f>
        <v>nedovoljan</v>
      </c>
      <c r="D16" s="220">
        <f>F!D16</f>
        <v>0</v>
      </c>
      <c r="E16" s="221">
        <f>F!E16</f>
        <v>3</v>
      </c>
      <c r="F16" s="222"/>
      <c r="G16" s="219" t="str">
        <f>F!G16</f>
        <v>vrlodobro</v>
      </c>
      <c r="H16" s="223" t="str">
        <f>F!H16</f>
        <v>( 4 )</v>
      </c>
      <c r="I16" s="225"/>
      <c r="J16" s="219" t="str">
        <f>F!J16</f>
        <v>Odeljenskog star.</v>
      </c>
      <c r="K16" s="225"/>
      <c r="L16" s="226">
        <f>IF(F!L16=0,"",F!L16)</f>
        <v>2.8461538461538463</v>
      </c>
      <c r="M16" s="231"/>
    </row>
    <row r="17" spans="1:13" ht="11.25" customHeight="1">
      <c r="A17" s="217">
        <v>16</v>
      </c>
      <c r="B17" s="218" t="str">
        <f>F!B17</f>
        <v>Novaković Milena</v>
      </c>
      <c r="C17" s="219" t="str">
        <f>F!C17</f>
        <v>odlican</v>
      </c>
      <c r="D17" s="220">
        <f>F!D17</f>
        <v>4.846153846153846</v>
      </c>
      <c r="E17" s="221">
        <f>F!E17</f>
      </c>
      <c r="F17" s="222"/>
      <c r="G17" s="219" t="str">
        <f>F!G17</f>
        <v>primerno</v>
      </c>
      <c r="H17" s="223" t="str">
        <f>F!H17</f>
        <v>( 5 )</v>
      </c>
      <c r="I17" s="225"/>
      <c r="J17" s="219" t="str">
        <f>F!J17</f>
        <v> </v>
      </c>
      <c r="K17" s="225"/>
      <c r="L17" s="226">
        <f>IF(F!L17=0,"",F!L17)</f>
        <v>4.857142857142857</v>
      </c>
      <c r="M17" s="233"/>
    </row>
    <row r="18" spans="1:13" ht="11.25" customHeight="1">
      <c r="A18" s="217">
        <v>17</v>
      </c>
      <c r="B18" s="218" t="str">
        <f>F!B18</f>
        <v>Orbanović Gradimir</v>
      </c>
      <c r="C18" s="219" t="str">
        <f>F!C18</f>
        <v>vrlodobar</v>
      </c>
      <c r="D18" s="220">
        <f>F!D18</f>
        <v>4.166666666666667</v>
      </c>
      <c r="E18" s="221">
        <f>F!E18</f>
      </c>
      <c r="F18" s="222"/>
      <c r="G18" s="219" t="str">
        <f>F!G18</f>
        <v>primerno</v>
      </c>
      <c r="H18" s="223" t="str">
        <f>F!H18</f>
        <v>( 5 )</v>
      </c>
      <c r="I18" s="225"/>
      <c r="J18" s="219" t="str">
        <f>F!J18</f>
        <v> </v>
      </c>
      <c r="K18" s="225"/>
      <c r="L18" s="226">
        <f>IF(F!L18=0,"",F!L18)</f>
        <v>4.166666666666667</v>
      </c>
      <c r="M18" s="233"/>
    </row>
    <row r="19" spans="1:13" ht="11.25" customHeight="1">
      <c r="A19" s="217">
        <v>18</v>
      </c>
      <c r="B19" s="218" t="str">
        <f>F!B19</f>
        <v>Poček Sonja</v>
      </c>
      <c r="C19" s="219" t="str">
        <f>F!C19</f>
        <v>odlican</v>
      </c>
      <c r="D19" s="220">
        <f>F!D19</f>
        <v>5</v>
      </c>
      <c r="E19" s="221">
        <f>F!E19</f>
      </c>
      <c r="F19" s="222"/>
      <c r="G19" s="219" t="str">
        <f>F!G19</f>
        <v>primerno</v>
      </c>
      <c r="H19" s="223" t="str">
        <f>F!H19</f>
        <v>( 5 )</v>
      </c>
      <c r="I19" s="229"/>
      <c r="J19" s="219" t="str">
        <f>F!J19</f>
        <v> </v>
      </c>
      <c r="K19" s="225"/>
      <c r="L19" s="226">
        <f>IF(F!L19=0,"",F!L19)</f>
        <v>5</v>
      </c>
      <c r="M19" s="233"/>
    </row>
    <row r="20" spans="1:13" ht="11.25" customHeight="1">
      <c r="A20" s="217">
        <v>19</v>
      </c>
      <c r="B20" s="218" t="str">
        <f>F!B20</f>
        <v>Rozman Marko</v>
      </c>
      <c r="C20" s="219" t="str">
        <f>F!C20</f>
        <v>nedovoljan</v>
      </c>
      <c r="D20" s="220">
        <f>F!D20</f>
        <v>0</v>
      </c>
      <c r="E20" s="221">
        <f>F!E20</f>
        <v>2</v>
      </c>
      <c r="F20" s="222"/>
      <c r="G20" s="219" t="str">
        <f>F!G20</f>
        <v>vrlodobro</v>
      </c>
      <c r="H20" s="223" t="str">
        <f>F!H20</f>
        <v>( 4 )</v>
      </c>
      <c r="I20" s="224"/>
      <c r="J20" s="219" t="str">
        <f>F!J20</f>
        <v>Odeljenskog star.</v>
      </c>
      <c r="K20" s="225"/>
      <c r="L20" s="226">
        <f>IF(F!L20=0,"",F!L20)</f>
        <v>2.9166666666666665</v>
      </c>
      <c r="M20" s="233"/>
    </row>
    <row r="21" spans="1:13" ht="11.25" customHeight="1">
      <c r="A21" s="217">
        <v>20</v>
      </c>
      <c r="B21" s="218" t="str">
        <f>F!B21</f>
        <v>Stojanović Jovan</v>
      </c>
      <c r="C21" s="219" t="str">
        <f>F!C21</f>
        <v>vrlodobar</v>
      </c>
      <c r="D21" s="220">
        <f>F!D21</f>
        <v>3.6666666666666665</v>
      </c>
      <c r="E21" s="221">
        <f>F!E21</f>
      </c>
      <c r="F21" s="222"/>
      <c r="G21" s="219" t="str">
        <f>F!G21</f>
        <v>primerno</v>
      </c>
      <c r="H21" s="223" t="str">
        <f>F!H21</f>
        <v>( 5 )</v>
      </c>
      <c r="I21" s="228"/>
      <c r="J21" s="219" t="str">
        <f>F!J21</f>
        <v> </v>
      </c>
      <c r="K21" s="225"/>
      <c r="L21" s="226">
        <f>IF(F!L21=0,"",F!L21)</f>
        <v>3.769230769230769</v>
      </c>
      <c r="M21" s="233"/>
    </row>
    <row r="22" spans="1:13" ht="11.25" customHeight="1">
      <c r="A22" s="217">
        <v>21</v>
      </c>
      <c r="B22" s="218" t="str">
        <f>F!B22</f>
        <v>Tadić Vesna</v>
      </c>
      <c r="C22" s="219" t="str">
        <f>F!C22</f>
        <v>nedovoljan</v>
      </c>
      <c r="D22" s="220">
        <f>F!D22</f>
        <v>0</v>
      </c>
      <c r="E22" s="221">
        <f>F!E22</f>
        <v>3</v>
      </c>
      <c r="F22" s="222"/>
      <c r="G22" s="219" t="str">
        <f>F!G22</f>
        <v>primerno</v>
      </c>
      <c r="H22" s="223" t="str">
        <f>F!H22</f>
        <v>( 5 )</v>
      </c>
      <c r="I22" s="229"/>
      <c r="J22" s="219" t="str">
        <f>F!J22</f>
        <v> </v>
      </c>
      <c r="K22" s="225"/>
      <c r="L22" s="226">
        <f>IF(F!L22=0,"",F!L22)</f>
        <v>2.923076923076923</v>
      </c>
      <c r="M22" s="233"/>
    </row>
    <row r="23" spans="1:13" ht="11.25" customHeight="1">
      <c r="A23" s="217">
        <v>22</v>
      </c>
      <c r="B23" s="218" t="str">
        <f>F!B23</f>
        <v>Misailović Jovana</v>
      </c>
      <c r="C23" s="219" t="str">
        <f>F!C23</f>
        <v>vrlodobar</v>
      </c>
      <c r="D23" s="220">
        <f>F!D23</f>
        <v>3.923076923076923</v>
      </c>
      <c r="E23" s="221">
        <f>F!E23</f>
      </c>
      <c r="F23" s="222"/>
      <c r="G23" s="219" t="str">
        <f>F!G23</f>
        <v>primerno</v>
      </c>
      <c r="H23" s="223" t="str">
        <f>F!H23</f>
        <v>( 5 )</v>
      </c>
      <c r="I23" s="224"/>
      <c r="J23" s="219" t="str">
        <f>F!J23</f>
        <v> </v>
      </c>
      <c r="K23" s="225"/>
      <c r="L23" s="226">
        <f>IF(F!L23=0,"",F!L23)</f>
        <v>3.923076923076923</v>
      </c>
      <c r="M23" s="233"/>
    </row>
    <row r="24" spans="1:13" ht="11.25" customHeight="1">
      <c r="A24" s="217">
        <v>23</v>
      </c>
      <c r="B24" s="218" t="str">
        <f>F!B24</f>
        <v> </v>
      </c>
      <c r="C24" s="219">
        <f>F!C24</f>
      </c>
      <c r="D24" s="220" t="str">
        <f>F!D24</f>
        <v> </v>
      </c>
      <c r="E24" s="221">
        <f>F!E24</f>
      </c>
      <c r="F24" s="222"/>
      <c r="G24" s="219">
        <f>F!G24</f>
      </c>
      <c r="H24" s="223">
        <f>F!H24</f>
      </c>
      <c r="I24" s="224"/>
      <c r="J24" s="219" t="str">
        <f>F!J24</f>
        <v> </v>
      </c>
      <c r="K24" s="225"/>
      <c r="L24" s="226">
        <f>IF(F!L24=0,"",F!L24)</f>
      </c>
      <c r="M24" s="233"/>
    </row>
    <row r="25" spans="1:13" ht="11.25" customHeight="1">
      <c r="A25" s="217" t="s">
        <v>153</v>
      </c>
      <c r="B25" s="218" t="str">
        <f>F!B25</f>
        <v> </v>
      </c>
      <c r="C25" s="219">
        <f>F!C25</f>
      </c>
      <c r="D25" s="220" t="str">
        <f>F!D25</f>
        <v> </v>
      </c>
      <c r="E25" s="221">
        <f>F!E25</f>
      </c>
      <c r="F25" s="222"/>
      <c r="G25" s="219">
        <f>F!G25</f>
      </c>
      <c r="H25" s="223">
        <f>F!H25</f>
      </c>
      <c r="I25" s="229"/>
      <c r="J25" s="219" t="str">
        <f>F!J25</f>
        <v> </v>
      </c>
      <c r="K25" s="225"/>
      <c r="L25" s="226">
        <f>IF(F!L25=0,"",F!L25)</f>
      </c>
      <c r="M25" s="233"/>
    </row>
    <row r="26" spans="1:13" ht="11.25" customHeight="1">
      <c r="A26" s="217">
        <v>25</v>
      </c>
      <c r="B26" s="218" t="str">
        <f>F!B26</f>
        <v> </v>
      </c>
      <c r="C26" s="219">
        <f>F!C26</f>
      </c>
      <c r="D26" s="220" t="str">
        <f>F!D26</f>
        <v> </v>
      </c>
      <c r="E26" s="221">
        <f>F!E26</f>
      </c>
      <c r="F26" s="222"/>
      <c r="G26" s="219">
        <f>F!G26</f>
      </c>
      <c r="H26" s="223">
        <f>F!H26</f>
      </c>
      <c r="I26" s="228"/>
      <c r="J26" s="219" t="str">
        <f>F!J26</f>
        <v> </v>
      </c>
      <c r="K26" s="225"/>
      <c r="L26" s="226">
        <f>IF(F!L26=0,"",F!L26)</f>
      </c>
      <c r="M26" s="233"/>
    </row>
    <row r="27" spans="1:13" ht="11.25" customHeight="1">
      <c r="A27" s="217">
        <v>26</v>
      </c>
      <c r="B27" s="218" t="str">
        <f>F!B27</f>
        <v> </v>
      </c>
      <c r="C27" s="219">
        <f>F!C27</f>
      </c>
      <c r="D27" s="220" t="str">
        <f>F!D27</f>
        <v> </v>
      </c>
      <c r="E27" s="221">
        <f>F!E27</f>
      </c>
      <c r="F27" s="222"/>
      <c r="G27" s="219">
        <f>F!G27</f>
      </c>
      <c r="H27" s="223">
        <f>F!H27</f>
      </c>
      <c r="I27" s="229"/>
      <c r="J27" s="219" t="str">
        <f>F!J27</f>
        <v> </v>
      </c>
      <c r="K27" s="225"/>
      <c r="L27" s="226">
        <f>IF(F!L27=0,"",F!L27)</f>
      </c>
      <c r="M27" s="233"/>
    </row>
    <row r="28" spans="1:13" ht="11.25" customHeight="1">
      <c r="A28" s="217">
        <v>27</v>
      </c>
      <c r="B28" s="218" t="str">
        <f>F!B28</f>
        <v> </v>
      </c>
      <c r="C28" s="219">
        <f>F!C28</f>
      </c>
      <c r="D28" s="220" t="str">
        <f>F!D28</f>
        <v> </v>
      </c>
      <c r="E28" s="221">
        <f>F!E28</f>
      </c>
      <c r="F28" s="222"/>
      <c r="G28" s="219">
        <f>F!G28</f>
      </c>
      <c r="H28" s="223">
        <f>F!H28</f>
      </c>
      <c r="I28" s="228"/>
      <c r="J28" s="219" t="str">
        <f>F!J28</f>
        <v> </v>
      </c>
      <c r="K28" s="225"/>
      <c r="L28" s="226">
        <f>IF(F!L28=0,"",F!L28)</f>
      </c>
      <c r="M28" s="233"/>
    </row>
    <row r="29" spans="1:13" ht="11.25" customHeight="1">
      <c r="A29" s="217">
        <v>28</v>
      </c>
      <c r="B29" s="218" t="str">
        <f>F!B29</f>
        <v> </v>
      </c>
      <c r="C29" s="219">
        <f>F!C29</f>
      </c>
      <c r="D29" s="220" t="str">
        <f>F!D29</f>
        <v> </v>
      </c>
      <c r="E29" s="221">
        <f>F!E29</f>
      </c>
      <c r="F29" s="222"/>
      <c r="G29" s="219">
        <f>F!G29</f>
      </c>
      <c r="H29" s="223">
        <f>F!H29</f>
      </c>
      <c r="I29" s="228"/>
      <c r="J29" s="219" t="str">
        <f>F!J29</f>
        <v> </v>
      </c>
      <c r="K29" s="225"/>
      <c r="L29" s="226">
        <f>IF(F!L29=0,"",F!L29)</f>
      </c>
      <c r="M29" s="233"/>
    </row>
    <row r="30" spans="1:13" ht="11.25" customHeight="1">
      <c r="A30" s="217">
        <v>29</v>
      </c>
      <c r="B30" s="218" t="str">
        <f>F!B30</f>
        <v> </v>
      </c>
      <c r="C30" s="219">
        <f>F!C30</f>
      </c>
      <c r="D30" s="220" t="str">
        <f>F!D30</f>
        <v> </v>
      </c>
      <c r="E30" s="221">
        <f>F!E30</f>
      </c>
      <c r="F30" s="222"/>
      <c r="G30" s="219">
        <f>F!G30</f>
      </c>
      <c r="H30" s="223">
        <f>F!H30</f>
      </c>
      <c r="I30" s="228"/>
      <c r="J30" s="219" t="str">
        <f>F!J30</f>
        <v> </v>
      </c>
      <c r="K30" s="225"/>
      <c r="L30" s="226">
        <f>IF(F!L30=0,"",F!L30)</f>
      </c>
      <c r="M30" s="230"/>
    </row>
    <row r="31" spans="1:13" ht="11.25" customHeight="1">
      <c r="A31" s="217">
        <v>30</v>
      </c>
      <c r="B31" s="218" t="str">
        <f>F!B31</f>
        <v> </v>
      </c>
      <c r="C31" s="219">
        <f>F!C31</f>
      </c>
      <c r="D31" s="220" t="str">
        <f>F!D31</f>
        <v> </v>
      </c>
      <c r="E31" s="221">
        <f>F!E31</f>
      </c>
      <c r="F31" s="222"/>
      <c r="G31" s="219">
        <f>F!G31</f>
      </c>
      <c r="H31" s="223">
        <f>F!H31</f>
      </c>
      <c r="I31" s="228"/>
      <c r="J31" s="219" t="str">
        <f>F!J31</f>
        <v> </v>
      </c>
      <c r="K31" s="225"/>
      <c r="L31" s="226">
        <f>IF(F!L31=0,"",F!L31)</f>
      </c>
      <c r="M31" s="230"/>
    </row>
    <row r="32" spans="1:13" ht="11.25" customHeight="1">
      <c r="A32" s="217">
        <v>31</v>
      </c>
      <c r="B32" s="218" t="str">
        <f>F!B32</f>
        <v> </v>
      </c>
      <c r="C32" s="219">
        <f>F!C32</f>
      </c>
      <c r="D32" s="220" t="str">
        <f>F!D32</f>
        <v> </v>
      </c>
      <c r="E32" s="221">
        <f>F!E32</f>
      </c>
      <c r="F32" s="222"/>
      <c r="G32" s="219">
        <f>F!G32</f>
      </c>
      <c r="H32" s="223">
        <f>F!H32</f>
      </c>
      <c r="I32" s="224"/>
      <c r="J32" s="219" t="str">
        <f>F!J32</f>
        <v> </v>
      </c>
      <c r="K32" s="225"/>
      <c r="L32" s="226">
        <f>IF(F!L32=0,"",F!L32)</f>
      </c>
      <c r="M32" s="230"/>
    </row>
    <row r="33" spans="1:13" ht="11.25" customHeight="1">
      <c r="A33" s="217">
        <v>32</v>
      </c>
      <c r="B33" s="218" t="str">
        <f>F!B33</f>
        <v> </v>
      </c>
      <c r="C33" s="219">
        <f>F!C33</f>
      </c>
      <c r="D33" s="220" t="str">
        <f>F!D33</f>
        <v> </v>
      </c>
      <c r="E33" s="221">
        <f>F!E33</f>
      </c>
      <c r="F33" s="222"/>
      <c r="G33" s="219">
        <f>F!G33</f>
      </c>
      <c r="H33" s="223">
        <f>F!H33</f>
      </c>
      <c r="I33" s="224"/>
      <c r="J33" s="219" t="str">
        <f>F!J33</f>
        <v> </v>
      </c>
      <c r="K33" s="225"/>
      <c r="L33" s="226">
        <f>IF(F!L33=0,"",F!L33)</f>
      </c>
      <c r="M33" s="230"/>
    </row>
    <row r="34" spans="1:13" ht="11.25" customHeight="1">
      <c r="A34" s="217">
        <v>33</v>
      </c>
      <c r="B34" s="218" t="str">
        <f>F!B34</f>
        <v> </v>
      </c>
      <c r="C34" s="219">
        <f>F!C34</f>
      </c>
      <c r="D34" s="220" t="str">
        <f>F!D34</f>
        <v> </v>
      </c>
      <c r="E34" s="221">
        <f>F!E34</f>
      </c>
      <c r="F34" s="222"/>
      <c r="G34" s="219">
        <f>F!G34</f>
      </c>
      <c r="H34" s="223">
        <f>F!H34</f>
      </c>
      <c r="I34" s="228"/>
      <c r="J34" s="219" t="str">
        <f>F!J34</f>
        <v> </v>
      </c>
      <c r="K34" s="225"/>
      <c r="L34" s="226">
        <f>IF(F!L34=0,"",F!L34)</f>
      </c>
      <c r="M34" s="230"/>
    </row>
    <row r="35" spans="1:13" ht="11.25" customHeight="1">
      <c r="A35" s="217">
        <v>34</v>
      </c>
      <c r="B35" s="218" t="str">
        <f>F!B35</f>
        <v> </v>
      </c>
      <c r="C35" s="219">
        <f>F!C35</f>
      </c>
      <c r="D35" s="220" t="str">
        <f>F!D35</f>
        <v> </v>
      </c>
      <c r="E35" s="221">
        <f>F!E35</f>
      </c>
      <c r="F35" s="222"/>
      <c r="G35" s="219">
        <f>F!G35</f>
      </c>
      <c r="H35" s="223">
        <f>F!H35</f>
      </c>
      <c r="I35" s="228"/>
      <c r="J35" s="219" t="str">
        <f>F!J35</f>
        <v> </v>
      </c>
      <c r="K35" s="225"/>
      <c r="L35" s="226">
        <f>IF(F!L35=0,"",F!L35)</f>
      </c>
      <c r="M35" s="230"/>
    </row>
    <row r="36" spans="1:13" ht="11.25" customHeight="1">
      <c r="A36" s="217">
        <v>35</v>
      </c>
      <c r="B36" s="218" t="str">
        <f>F!B36</f>
        <v> </v>
      </c>
      <c r="C36" s="219">
        <f>F!C36</f>
      </c>
      <c r="D36" s="220" t="str">
        <f>F!D36</f>
        <v> </v>
      </c>
      <c r="E36" s="221">
        <f>F!E36</f>
      </c>
      <c r="F36" s="222"/>
      <c r="G36" s="219">
        <f>F!G36</f>
      </c>
      <c r="H36" s="223">
        <f>F!H36</f>
      </c>
      <c r="I36" s="229"/>
      <c r="J36" s="219" t="str">
        <f>F!J36</f>
        <v> </v>
      </c>
      <c r="K36" s="225"/>
      <c r="L36" s="226">
        <f>IF(F!L36=0,"",F!L36)</f>
      </c>
      <c r="M36" s="230"/>
    </row>
    <row r="37" spans="1:13" ht="11.25" customHeight="1">
      <c r="A37" s="217">
        <v>36</v>
      </c>
      <c r="B37" s="218" t="str">
        <f>F!B37</f>
        <v> </v>
      </c>
      <c r="C37" s="219">
        <f>F!C37</f>
      </c>
      <c r="D37" s="220" t="str">
        <f>F!D37</f>
        <v> </v>
      </c>
      <c r="E37" s="221">
        <f>F!E37</f>
      </c>
      <c r="F37" s="222"/>
      <c r="G37" s="219">
        <f>F!G37</f>
      </c>
      <c r="H37" s="223">
        <f>F!H37</f>
      </c>
      <c r="I37" s="229"/>
      <c r="J37" s="219" t="str">
        <f>F!J37</f>
        <v> </v>
      </c>
      <c r="K37" s="225"/>
      <c r="L37" s="226">
        <f>IF(F!L37=0,"",F!L37)</f>
      </c>
      <c r="M37" s="230"/>
    </row>
    <row r="38" spans="1:13" ht="11.25" customHeight="1">
      <c r="A38" s="217">
        <v>37</v>
      </c>
      <c r="B38" s="218" t="str">
        <f>F!B38</f>
        <v> </v>
      </c>
      <c r="C38" s="219">
        <f>F!C38</f>
      </c>
      <c r="D38" s="220" t="str">
        <f>F!D38</f>
        <v> </v>
      </c>
      <c r="E38" s="221">
        <f>F!E38</f>
      </c>
      <c r="F38" s="222"/>
      <c r="G38" s="219">
        <f>F!G38</f>
      </c>
      <c r="H38" s="223">
        <f>F!H38</f>
      </c>
      <c r="I38" s="229"/>
      <c r="J38" s="219" t="str">
        <f>F!J38</f>
        <v> </v>
      </c>
      <c r="K38" s="225"/>
      <c r="L38" s="226">
        <f>IF(F!L38=0,"",F!L38)</f>
      </c>
      <c r="M38" s="230"/>
    </row>
    <row r="39" spans="1:13" ht="11.25" customHeight="1">
      <c r="A39" s="217">
        <v>38</v>
      </c>
      <c r="B39" s="218" t="str">
        <f>F!B39</f>
        <v> </v>
      </c>
      <c r="C39" s="219">
        <f>F!C39</f>
      </c>
      <c r="D39" s="220" t="str">
        <f>F!D39</f>
        <v> </v>
      </c>
      <c r="E39" s="221">
        <f>F!E39</f>
      </c>
      <c r="F39" s="222"/>
      <c r="G39" s="219">
        <f>F!G39</f>
      </c>
      <c r="H39" s="223">
        <f>F!H39</f>
      </c>
      <c r="I39" s="229"/>
      <c r="J39" s="219" t="str">
        <f>F!J39</f>
        <v> </v>
      </c>
      <c r="K39" s="225"/>
      <c r="L39" s="226">
        <f>IF(F!L39=0,"",F!L39)</f>
      </c>
      <c r="M39" s="230"/>
    </row>
    <row r="40" spans="1:13" ht="11.25" customHeight="1">
      <c r="A40" s="217">
        <v>39</v>
      </c>
      <c r="B40" s="218" t="str">
        <f>F!B40</f>
        <v> </v>
      </c>
      <c r="C40" s="219">
        <f>F!C40</f>
      </c>
      <c r="D40" s="220" t="str">
        <f>F!D40</f>
        <v> </v>
      </c>
      <c r="E40" s="221">
        <f>F!E40</f>
      </c>
      <c r="F40" s="222"/>
      <c r="G40" s="219">
        <f>F!G40</f>
      </c>
      <c r="H40" s="223">
        <f>F!H40</f>
      </c>
      <c r="I40" s="229"/>
      <c r="J40" s="219" t="str">
        <f>F!J40</f>
        <v> </v>
      </c>
      <c r="K40" s="225"/>
      <c r="L40" s="226">
        <f>IF(F!L40=0,"",F!L40)</f>
      </c>
      <c r="M40" s="230"/>
    </row>
    <row r="41" spans="1:13" ht="11.25" customHeight="1">
      <c r="A41" s="217">
        <v>40</v>
      </c>
      <c r="B41" s="218" t="str">
        <f>F!B41</f>
        <v> </v>
      </c>
      <c r="C41" s="219">
        <f>F!C41</f>
      </c>
      <c r="D41" s="220" t="str">
        <f>F!D41</f>
        <v> </v>
      </c>
      <c r="E41" s="221">
        <f>F!E41</f>
      </c>
      <c r="F41" s="222"/>
      <c r="G41" s="219">
        <f>F!G41</f>
      </c>
      <c r="H41" s="223">
        <f>F!H41</f>
      </c>
      <c r="I41" s="229"/>
      <c r="J41" s="219" t="str">
        <f>F!J41</f>
        <v> </v>
      </c>
      <c r="K41" s="225"/>
      <c r="L41" s="226">
        <f>IF(F!L41=0,"",F!L41)</f>
      </c>
      <c r="M41" s="230"/>
    </row>
    <row r="42" spans="1:13" ht="12">
      <c r="A42" s="234"/>
      <c r="B42" s="235"/>
      <c r="C42" s="235"/>
      <c r="D42" s="235"/>
      <c r="E42" s="235"/>
      <c r="F42" s="235"/>
      <c r="G42" s="235"/>
      <c r="H42" s="236"/>
      <c r="I42" s="235"/>
      <c r="J42" s="235"/>
      <c r="K42" s="235"/>
      <c r="L42" s="235"/>
      <c r="M42" s="237"/>
    </row>
    <row r="43" spans="1:2" ht="12">
      <c r="A43" s="195"/>
      <c r="B43" s="195"/>
    </row>
    <row r="44" spans="1:2" ht="12">
      <c r="A44" s="195"/>
      <c r="B44" s="195"/>
    </row>
  </sheetData>
  <printOptions gridLines="1" horizontalCentered="1"/>
  <pageMargins left="0.25" right="0.25" top="0.5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3.7109375" style="2" customWidth="1"/>
    <col min="2" max="3" width="9.00390625" style="2" customWidth="1"/>
    <col min="4" max="4" width="12.28125" style="2" customWidth="1"/>
    <col min="5" max="5" width="9.7109375" style="2" customWidth="1"/>
    <col min="6" max="6" width="12.00390625" style="2" customWidth="1"/>
    <col min="7" max="7" width="11.7109375" style="2" customWidth="1"/>
    <col min="8" max="16384" width="9.00390625" style="2" customWidth="1"/>
  </cols>
  <sheetData>
    <row r="1" spans="1:10" ht="15" customHeight="1">
      <c r="A1" s="238"/>
      <c r="B1" s="239"/>
      <c r="C1" s="240" t="str">
        <f>IF(Upis!M1="","",IF(Upis!M1=1,"Prvo","Drugo"))</f>
        <v>Prvo</v>
      </c>
      <c r="D1" s="241" t="s">
        <v>154</v>
      </c>
      <c r="E1" s="242"/>
      <c r="F1" s="243" t="str">
        <f>IF(Upis!S1="","",CONCATENATE((Upis!S1),"/",CONCATENATE(Upis!T1)))</f>
        <v>06/07</v>
      </c>
      <c r="G1" s="241" t="s">
        <v>155</v>
      </c>
      <c r="H1" s="244" t="str">
        <f>IF(Upis!E1="","",Upis!E1&amp;"/"&amp;Upis!I1)</f>
        <v>8/1</v>
      </c>
      <c r="I1" s="239"/>
      <c r="J1" s="245"/>
    </row>
    <row r="2" spans="1:10" ht="12">
      <c r="A2" s="246"/>
      <c r="B2" s="247"/>
      <c r="C2" s="248"/>
      <c r="D2" s="156"/>
      <c r="E2" s="249"/>
      <c r="F2" s="250"/>
      <c r="G2" s="156"/>
      <c r="H2" s="250"/>
      <c r="I2" s="247"/>
      <c r="J2" s="251"/>
    </row>
    <row r="3" spans="1:10" ht="12">
      <c r="A3" s="246"/>
      <c r="B3" s="247"/>
      <c r="C3" s="252" t="s">
        <v>156</v>
      </c>
      <c r="D3" s="252"/>
      <c r="E3" s="252"/>
      <c r="F3" s="253" t="str">
        <f>IF(Upis!M1="","",IF(Upis!M1=1,"prvog","drugog"))</f>
        <v>prvog</v>
      </c>
      <c r="G3" s="156" t="s">
        <v>157</v>
      </c>
      <c r="H3" s="156"/>
      <c r="I3" s="247"/>
      <c r="J3" s="251"/>
    </row>
    <row r="4" spans="1:10" ht="12">
      <c r="A4" s="246"/>
      <c r="B4" s="247"/>
      <c r="C4" s="156"/>
      <c r="D4" s="156"/>
      <c r="E4" s="249"/>
      <c r="F4" s="250"/>
      <c r="G4" s="156"/>
      <c r="H4" s="250"/>
      <c r="I4" s="247"/>
      <c r="J4" s="251"/>
    </row>
    <row r="5" spans="1:10" ht="12">
      <c r="A5" s="246"/>
      <c r="B5" s="156"/>
      <c r="C5" s="249"/>
      <c r="D5" s="249"/>
      <c r="E5" s="254"/>
      <c r="F5" s="156"/>
      <c r="G5" s="156" t="s">
        <v>158</v>
      </c>
      <c r="H5" s="255"/>
      <c r="I5" s="255"/>
      <c r="J5" s="251"/>
    </row>
    <row r="6" spans="1:10" ht="12">
      <c r="A6" s="246"/>
      <c r="B6" s="156" t="s">
        <v>159</v>
      </c>
      <c r="C6" s="249"/>
      <c r="D6" s="249"/>
      <c r="E6" s="256">
        <f>SUM(C!C12:C!C17)</f>
        <v>22</v>
      </c>
      <c r="F6" s="156" t="s">
        <v>160</v>
      </c>
      <c r="G6" s="156" t="s">
        <v>98</v>
      </c>
      <c r="H6" s="249"/>
      <c r="I6" s="257">
        <f>Statistika!C8</f>
        <v>1</v>
      </c>
      <c r="J6" s="251"/>
    </row>
    <row r="7" spans="1:10" ht="12">
      <c r="A7" s="246"/>
      <c r="B7" s="249" t="s">
        <v>161</v>
      </c>
      <c r="C7" s="249"/>
      <c r="D7" s="249"/>
      <c r="E7" s="256">
        <f>COUNTIF(Upis!V3:Upis!V42,"m")</f>
        <v>9</v>
      </c>
      <c r="F7" s="247"/>
      <c r="G7" s="156" t="s">
        <v>162</v>
      </c>
      <c r="H7" s="249"/>
      <c r="I7" s="257">
        <f>Statistika!D8</f>
        <v>2</v>
      </c>
      <c r="J7" s="251"/>
    </row>
    <row r="8" spans="1:10" ht="12">
      <c r="A8" s="246"/>
      <c r="B8" s="249" t="s">
        <v>163</v>
      </c>
      <c r="C8" s="249"/>
      <c r="D8" s="249"/>
      <c r="E8" s="256">
        <f>COUNTIF(Upis!V3:Upis!V42,"z")</f>
        <v>13</v>
      </c>
      <c r="F8" s="247"/>
      <c r="G8" s="249" t="s">
        <v>164</v>
      </c>
      <c r="H8" s="249"/>
      <c r="I8" s="257">
        <f>Statistika!E8</f>
        <v>0</v>
      </c>
      <c r="J8" s="251"/>
    </row>
    <row r="9" spans="1:10" ht="12">
      <c r="A9" s="246"/>
      <c r="B9" s="249" t="s">
        <v>165</v>
      </c>
      <c r="C9" s="249"/>
      <c r="D9" s="249"/>
      <c r="E9" s="256">
        <f>C!C18</f>
        <v>14</v>
      </c>
      <c r="F9" s="156" t="s">
        <v>160</v>
      </c>
      <c r="G9" s="249" t="s">
        <v>166</v>
      </c>
      <c r="H9" s="249"/>
      <c r="I9" s="257">
        <f>Statistika!F8</f>
        <v>0</v>
      </c>
      <c r="J9" s="251"/>
    </row>
    <row r="10" spans="1:10" ht="12">
      <c r="A10" s="246"/>
      <c r="B10" s="249" t="s">
        <v>167</v>
      </c>
      <c r="C10" s="249"/>
      <c r="D10" s="249"/>
      <c r="E10" s="256">
        <f>C!C16</f>
        <v>8</v>
      </c>
      <c r="F10" s="156" t="s">
        <v>160</v>
      </c>
      <c r="G10" s="249" t="s">
        <v>102</v>
      </c>
      <c r="H10" s="249"/>
      <c r="I10" s="257">
        <f>Statistika!G8</f>
        <v>1</v>
      </c>
      <c r="J10" s="251"/>
    </row>
    <row r="11" spans="1:10" ht="12">
      <c r="A11" s="246"/>
      <c r="B11" s="249" t="s">
        <v>168</v>
      </c>
      <c r="C11" s="249"/>
      <c r="D11" s="249"/>
      <c r="E11" s="256" t="str">
        <f>C!C17</f>
        <v>Nema</v>
      </c>
      <c r="F11" s="156" t="s">
        <v>160</v>
      </c>
      <c r="G11" s="249" t="s">
        <v>169</v>
      </c>
      <c r="H11" s="249"/>
      <c r="I11" s="257">
        <f>Statistika!H8</f>
        <v>0</v>
      </c>
      <c r="J11" s="251"/>
    </row>
    <row r="12" spans="1:10" ht="12">
      <c r="A12" s="246"/>
      <c r="B12" s="249" t="s">
        <v>170</v>
      </c>
      <c r="C12" s="249"/>
      <c r="D12" s="249"/>
      <c r="E12" s="256">
        <f>C!C12</f>
        <v>6</v>
      </c>
      <c r="F12" s="156" t="s">
        <v>160</v>
      </c>
      <c r="G12" s="249" t="s">
        <v>171</v>
      </c>
      <c r="H12" s="249"/>
      <c r="I12" s="257">
        <f>Statistika!I8</f>
        <v>6</v>
      </c>
      <c r="J12" s="251"/>
    </row>
    <row r="13" spans="1:10" ht="12">
      <c r="A13" s="246"/>
      <c r="B13" s="249" t="s">
        <v>172</v>
      </c>
      <c r="C13" s="249"/>
      <c r="D13" s="249"/>
      <c r="E13" s="256">
        <f>C!C13</f>
        <v>8</v>
      </c>
      <c r="F13" s="156" t="s">
        <v>160</v>
      </c>
      <c r="G13" s="249" t="s">
        <v>173</v>
      </c>
      <c r="H13" s="249"/>
      <c r="I13" s="257">
        <f>Statistika!J8</f>
        <v>6</v>
      </c>
      <c r="J13" s="251"/>
    </row>
    <row r="14" spans="1:10" ht="12">
      <c r="A14" s="246"/>
      <c r="B14" s="249" t="s">
        <v>174</v>
      </c>
      <c r="C14" s="249"/>
      <c r="D14" s="249"/>
      <c r="E14" s="256" t="str">
        <f>C!C14</f>
        <v>Nema</v>
      </c>
      <c r="F14" s="156" t="s">
        <v>160</v>
      </c>
      <c r="G14" s="249" t="s">
        <v>108</v>
      </c>
      <c r="H14" s="249"/>
      <c r="I14" s="257">
        <f>Statistika!K8</f>
        <v>0</v>
      </c>
      <c r="J14" s="251"/>
    </row>
    <row r="15" spans="1:10" ht="12">
      <c r="A15" s="246"/>
      <c r="B15" s="249" t="s">
        <v>175</v>
      </c>
      <c r="C15" s="249"/>
      <c r="D15" s="249"/>
      <c r="E15" s="256" t="str">
        <f>C!C15</f>
        <v>Nema</v>
      </c>
      <c r="F15" s="156" t="s">
        <v>160</v>
      </c>
      <c r="G15" s="249" t="s">
        <v>176</v>
      </c>
      <c r="H15" s="249"/>
      <c r="I15" s="257">
        <f>Statistika!L8</f>
        <v>0</v>
      </c>
      <c r="J15" s="251"/>
    </row>
    <row r="16" spans="1:10" ht="12">
      <c r="A16" s="246"/>
      <c r="B16" s="249" t="s">
        <v>177</v>
      </c>
      <c r="C16" s="249"/>
      <c r="D16" s="249"/>
      <c r="E16" s="256">
        <f>C!C16</f>
        <v>8</v>
      </c>
      <c r="F16" s="156" t="s">
        <v>160</v>
      </c>
      <c r="G16" s="249" t="s">
        <v>178</v>
      </c>
      <c r="H16" s="249"/>
      <c r="I16" s="257">
        <f>Statistika!M8</f>
        <v>0</v>
      </c>
      <c r="J16" s="251"/>
    </row>
    <row r="17" spans="1:10" ht="12">
      <c r="A17" s="246"/>
      <c r="B17" s="249"/>
      <c r="C17" s="249"/>
      <c r="D17" s="249"/>
      <c r="E17" s="258"/>
      <c r="F17" s="156"/>
      <c r="G17" s="249" t="s">
        <v>179</v>
      </c>
      <c r="H17" s="249"/>
      <c r="I17" s="257">
        <f>Statistika!N8</f>
        <v>0</v>
      </c>
      <c r="J17" s="251"/>
    </row>
    <row r="18" spans="1:10" ht="12">
      <c r="A18" s="246"/>
      <c r="B18" s="249" t="s">
        <v>180</v>
      </c>
      <c r="C18" s="249"/>
      <c r="D18" s="249"/>
      <c r="E18" s="256">
        <f>C!C20</f>
        <v>1</v>
      </c>
      <c r="F18" s="156" t="s">
        <v>160</v>
      </c>
      <c r="G18" s="249" t="s">
        <v>112</v>
      </c>
      <c r="H18" s="249"/>
      <c r="I18" s="257">
        <f>Statistika!O8</f>
        <v>0</v>
      </c>
      <c r="J18" s="251"/>
    </row>
    <row r="19" spans="1:10" ht="12">
      <c r="A19" s="246"/>
      <c r="B19" s="249" t="s">
        <v>181</v>
      </c>
      <c r="C19" s="249"/>
      <c r="D19" s="249"/>
      <c r="E19" s="256">
        <f>C!C21</f>
        <v>4</v>
      </c>
      <c r="F19" s="156" t="s">
        <v>160</v>
      </c>
      <c r="G19" s="156" t="s">
        <v>182</v>
      </c>
      <c r="H19" s="249"/>
      <c r="I19" s="257">
        <f>Statistika!P8</f>
        <v>2</v>
      </c>
      <c r="J19" s="251"/>
    </row>
    <row r="20" spans="1:10" ht="12">
      <c r="A20" s="246"/>
      <c r="B20" s="249" t="s">
        <v>183</v>
      </c>
      <c r="C20" s="249"/>
      <c r="D20" s="249"/>
      <c r="E20" s="256">
        <f>C!C22</f>
        <v>3</v>
      </c>
      <c r="F20" s="156" t="s">
        <v>160</v>
      </c>
      <c r="G20" s="156" t="s">
        <v>184</v>
      </c>
      <c r="H20" s="249"/>
      <c r="I20" s="259">
        <f>SUM(I6:I19)</f>
        <v>18</v>
      </c>
      <c r="J20" s="251"/>
    </row>
    <row r="21" spans="1:10" ht="12">
      <c r="A21" s="246"/>
      <c r="B21" s="249" t="s">
        <v>185</v>
      </c>
      <c r="C21" s="249"/>
      <c r="D21" s="249"/>
      <c r="E21" s="256" t="str">
        <f>C!C23</f>
        <v>Nema</v>
      </c>
      <c r="F21" s="156" t="s">
        <v>160</v>
      </c>
      <c r="G21" s="247"/>
      <c r="H21" s="247"/>
      <c r="I21" s="247"/>
      <c r="J21" s="251"/>
    </row>
    <row r="22" spans="1:10" ht="12">
      <c r="A22" s="246"/>
      <c r="B22" s="249" t="s">
        <v>186</v>
      </c>
      <c r="C22" s="249"/>
      <c r="D22" s="249"/>
      <c r="E22" s="256" t="str">
        <f>C!C24</f>
        <v>Nema</v>
      </c>
      <c r="F22" s="156" t="s">
        <v>160</v>
      </c>
      <c r="G22" s="249" t="s">
        <v>187</v>
      </c>
      <c r="H22" s="247"/>
      <c r="I22" s="247"/>
      <c r="J22" s="260"/>
    </row>
    <row r="23" spans="1:10" ht="12">
      <c r="A23" s="246"/>
      <c r="B23" s="249" t="s">
        <v>188</v>
      </c>
      <c r="C23" s="249"/>
      <c r="D23" s="249"/>
      <c r="E23" s="261">
        <f>C!U11</f>
        <v>3.9127272727272726</v>
      </c>
      <c r="F23" s="247"/>
      <c r="G23" s="249" t="s">
        <v>189</v>
      </c>
      <c r="H23" s="262"/>
      <c r="I23" s="263">
        <f>IF(Upis!M1=1,Statistika!J29,Statistika!J30)</f>
        <v>875</v>
      </c>
      <c r="J23" s="251"/>
    </row>
    <row r="24" spans="1:10" ht="12">
      <c r="A24" s="246"/>
      <c r="B24" s="249" t="s">
        <v>190</v>
      </c>
      <c r="C24" s="249"/>
      <c r="D24" s="249"/>
      <c r="E24" s="264">
        <f>C!V11</f>
        <v>3.937282229965157</v>
      </c>
      <c r="F24" s="247"/>
      <c r="G24" s="156" t="s">
        <v>191</v>
      </c>
      <c r="H24" s="262"/>
      <c r="I24" s="263">
        <f>IF(Upis!M1=1,Statistika!J35,Statistika!J36)</f>
        <v>96</v>
      </c>
      <c r="J24" s="251"/>
    </row>
    <row r="25" spans="1:10" ht="12">
      <c r="A25" s="246"/>
      <c r="B25" s="249"/>
      <c r="C25" s="249"/>
      <c r="D25" s="249"/>
      <c r="E25" s="265"/>
      <c r="F25" s="247"/>
      <c r="G25" s="249" t="s">
        <v>192</v>
      </c>
      <c r="H25" s="262"/>
      <c r="I25" s="266">
        <f>IF(Upis!M1=1,Statistika!I39,Statistika!I40)</f>
        <v>971</v>
      </c>
      <c r="J25" s="251"/>
    </row>
    <row r="26" spans="1:10" ht="12">
      <c r="A26" s="246"/>
      <c r="B26" s="249"/>
      <c r="C26" s="249"/>
      <c r="D26" s="249"/>
      <c r="E26" s="265"/>
      <c r="F26" s="247"/>
      <c r="G26" s="249" t="s">
        <v>80</v>
      </c>
      <c r="H26" s="249"/>
      <c r="I26" s="267">
        <f>IF(Upis!M1=1,Statistika!J39,Statistika!J40)</f>
        <v>44.13636363636363</v>
      </c>
      <c r="J26" s="251"/>
    </row>
    <row r="27" spans="1:10" ht="12">
      <c r="A27" s="268"/>
      <c r="B27" s="269"/>
      <c r="C27" s="269"/>
      <c r="D27" s="269"/>
      <c r="E27" s="269"/>
      <c r="F27" s="270"/>
      <c r="G27" s="270"/>
      <c r="H27" s="270"/>
      <c r="I27" s="270"/>
      <c r="J27" s="271"/>
    </row>
    <row r="28" spans="1:10" ht="12">
      <c r="A28" s="142"/>
      <c r="B28" s="255" t="s">
        <v>193</v>
      </c>
      <c r="C28" s="255"/>
      <c r="D28" s="255"/>
      <c r="E28" s="255"/>
      <c r="F28" s="3"/>
      <c r="G28" s="255" t="s">
        <v>194</v>
      </c>
      <c r="H28" s="255"/>
      <c r="I28" s="3"/>
      <c r="J28" s="260"/>
    </row>
    <row r="29" spans="1:10" ht="12">
      <c r="A29" s="142"/>
      <c r="B29" s="255" t="s">
        <v>195</v>
      </c>
      <c r="C29" s="255"/>
      <c r="D29" s="255"/>
      <c r="E29" s="263">
        <f>COUNTIF(A!P3:A!P42,"&gt;0")</f>
        <v>11</v>
      </c>
      <c r="F29" s="3"/>
      <c r="G29" s="255" t="s">
        <v>120</v>
      </c>
      <c r="H29" s="3"/>
      <c r="I29" s="272">
        <f>IF(Upis!M1=2,Statistika!J31,"")</f>
      </c>
      <c r="J29" s="260"/>
    </row>
    <row r="30" spans="1:10" ht="12">
      <c r="A30" s="142"/>
      <c r="B30" s="273" t="s">
        <v>196</v>
      </c>
      <c r="C30" s="255"/>
      <c r="D30" s="255"/>
      <c r="E30" s="256">
        <f>SUM(C!C12:C!C17)-COUNTIF(A!P3:A!P42,"&gt;0 ")</f>
        <v>11</v>
      </c>
      <c r="F30" s="3"/>
      <c r="G30" s="255" t="s">
        <v>136</v>
      </c>
      <c r="H30" s="3"/>
      <c r="I30" s="272">
        <f>IF(Upis!M1=2,Statistika!J37,"")</f>
      </c>
      <c r="J30" s="260"/>
    </row>
    <row r="31" spans="1:10" ht="12">
      <c r="A31" s="142"/>
      <c r="B31" s="255" t="s">
        <v>197</v>
      </c>
      <c r="C31" s="255"/>
      <c r="D31" s="255"/>
      <c r="E31" s="263">
        <f>COUNTIF(A!O3:A!O42,"&gt;0")</f>
        <v>12</v>
      </c>
      <c r="F31" s="3"/>
      <c r="G31" s="255" t="s">
        <v>198</v>
      </c>
      <c r="H31" s="3"/>
      <c r="I31" s="272">
        <f>IF(Upis!M1=2,Statistika!I41,"")</f>
      </c>
      <c r="J31" s="260"/>
    </row>
    <row r="32" spans="1:10" ht="12.75" customHeight="1">
      <c r="A32" s="142"/>
      <c r="B32" s="273" t="s">
        <v>199</v>
      </c>
      <c r="C32" s="255"/>
      <c r="D32" s="255"/>
      <c r="E32" s="256">
        <f>SUM(C!C12:C!C17)-COUNTIF(A!O3:A!O42,"&gt;0 ")</f>
        <v>10</v>
      </c>
      <c r="F32" s="3"/>
      <c r="G32" s="274" t="s">
        <v>80</v>
      </c>
      <c r="H32" s="3"/>
      <c r="I32" s="275">
        <f>IF(Upis!M1=2,Statistika!J41,"")</f>
      </c>
      <c r="J32" s="260"/>
    </row>
    <row r="33" spans="1:10" ht="12.75" customHeight="1">
      <c r="A33" s="276"/>
      <c r="B33" s="277"/>
      <c r="C33" s="278"/>
      <c r="D33" s="278"/>
      <c r="E33" s="278"/>
      <c r="F33" s="278"/>
      <c r="G33" s="278"/>
      <c r="H33" s="278"/>
      <c r="I33" s="278"/>
      <c r="J33" s="279"/>
    </row>
    <row r="34" spans="1:10" ht="12.75" customHeight="1">
      <c r="A34" s="280"/>
      <c r="B34" s="281" t="s">
        <v>200</v>
      </c>
      <c r="C34" s="282"/>
      <c r="D34" s="282"/>
      <c r="E34" s="282"/>
      <c r="F34" s="282"/>
      <c r="G34" s="282"/>
      <c r="H34" s="282"/>
      <c r="I34" s="282"/>
      <c r="J34" s="283"/>
    </row>
    <row r="35" spans="1:10" ht="12.75" customHeight="1">
      <c r="A35" s="284"/>
      <c r="B35" s="285" t="str">
        <f>D!C84</f>
        <v>Andjelković Jelena Brković Olivera Jelisavac Jovana Poček Sonja </v>
      </c>
      <c r="C35" s="285"/>
      <c r="D35" s="285"/>
      <c r="E35" s="285"/>
      <c r="F35" s="285"/>
      <c r="G35" s="285"/>
      <c r="H35" s="285"/>
      <c r="I35" s="285"/>
      <c r="J35" s="286"/>
    </row>
    <row r="36" spans="1:10" ht="12.75" customHeight="1">
      <c r="A36" s="284"/>
      <c r="B36" s="285"/>
      <c r="C36" s="285"/>
      <c r="D36" s="285"/>
      <c r="E36" s="285"/>
      <c r="F36" s="285"/>
      <c r="G36" s="285"/>
      <c r="H36" s="285"/>
      <c r="I36" s="285"/>
      <c r="J36" s="286"/>
    </row>
    <row r="37" spans="1:10" ht="12.75" customHeight="1">
      <c r="A37" s="284"/>
      <c r="B37" s="287" t="s">
        <v>201</v>
      </c>
      <c r="C37" s="288"/>
      <c r="D37" s="288"/>
      <c r="E37" s="288"/>
      <c r="F37" s="288"/>
      <c r="G37" s="288"/>
      <c r="H37" s="288"/>
      <c r="I37" s="288"/>
      <c r="J37" s="286"/>
    </row>
    <row r="38" spans="1:10" ht="12.75" customHeight="1">
      <c r="A38" s="284"/>
      <c r="B38" s="289" t="str">
        <f>D!C81</f>
        <v>Djordjević Ivana iz: dsj</v>
      </c>
      <c r="C38" s="289"/>
      <c r="D38" s="289"/>
      <c r="E38" s="289"/>
      <c r="F38" s="289"/>
      <c r="G38" s="289"/>
      <c r="H38" s="289"/>
      <c r="I38" s="289"/>
      <c r="J38" s="286"/>
    </row>
    <row r="39" spans="1:10" ht="12.75" customHeight="1">
      <c r="A39" s="284"/>
      <c r="B39" s="289"/>
      <c r="C39" s="289"/>
      <c r="D39" s="289"/>
      <c r="E39" s="289"/>
      <c r="F39" s="289"/>
      <c r="G39" s="289"/>
      <c r="H39" s="289"/>
      <c r="I39" s="289"/>
      <c r="J39" s="286"/>
    </row>
    <row r="40" spans="1:10" ht="12.75" customHeight="1">
      <c r="A40" s="284"/>
      <c r="B40" s="287" t="s">
        <v>202</v>
      </c>
      <c r="C40" s="288"/>
      <c r="D40" s="288"/>
      <c r="E40" s="288"/>
      <c r="F40" s="288"/>
      <c r="G40" s="288"/>
      <c r="H40" s="288"/>
      <c r="I40" s="288"/>
      <c r="J40" s="286"/>
    </row>
    <row r="41" spans="1:10" ht="12.75" customHeight="1">
      <c r="A41" s="284"/>
      <c r="B41" s="289" t="str">
        <f>D!C82</f>
        <v>Veselinović Nemanja iz: fiz dsj Gligorijević Grigorije iz: fiz mat Lazarević Milena iz: fiz mat Rozman Marko iz: fiz mat </v>
      </c>
      <c r="C41" s="289"/>
      <c r="D41" s="289"/>
      <c r="E41" s="289"/>
      <c r="F41" s="289"/>
      <c r="G41" s="289"/>
      <c r="H41" s="289"/>
      <c r="I41" s="289"/>
      <c r="J41" s="286"/>
    </row>
    <row r="42" spans="1:10" ht="12.75" customHeight="1">
      <c r="A42" s="284"/>
      <c r="B42" s="289"/>
      <c r="C42" s="289"/>
      <c r="D42" s="289"/>
      <c r="E42" s="289"/>
      <c r="F42" s="289"/>
      <c r="G42" s="289"/>
      <c r="H42" s="289"/>
      <c r="I42" s="289"/>
      <c r="J42" s="286"/>
    </row>
    <row r="43" spans="1:10" ht="12.75" customHeight="1">
      <c r="A43" s="284"/>
      <c r="B43" s="287" t="s">
        <v>203</v>
      </c>
      <c r="C43" s="288"/>
      <c r="D43" s="288"/>
      <c r="E43" s="288"/>
      <c r="F43" s="288"/>
      <c r="G43" s="288"/>
      <c r="H43" s="288"/>
      <c r="I43" s="288"/>
      <c r="J43" s="286"/>
    </row>
    <row r="44" spans="1:10" ht="12.75" customHeight="1">
      <c r="A44" s="284"/>
      <c r="B44" s="289" t="str">
        <f>D!C83</f>
        <v>Blagojević Nenad iz: psj fiz mat Milošević Stefan iz: srp fiz mat Tadić Vesna iz: psj ist mat </v>
      </c>
      <c r="C44" s="289"/>
      <c r="D44" s="289"/>
      <c r="E44" s="289"/>
      <c r="F44" s="289"/>
      <c r="G44" s="289"/>
      <c r="H44" s="289"/>
      <c r="I44" s="289"/>
      <c r="J44" s="286"/>
    </row>
    <row r="45" spans="1:10" ht="12.75" customHeight="1">
      <c r="A45" s="284"/>
      <c r="B45" s="289"/>
      <c r="C45" s="289"/>
      <c r="D45" s="289"/>
      <c r="E45" s="289"/>
      <c r="F45" s="289"/>
      <c r="G45" s="289"/>
      <c r="H45" s="289"/>
      <c r="I45" s="289"/>
      <c r="J45" s="286"/>
    </row>
    <row r="46" spans="1:10" ht="12.75" customHeight="1">
      <c r="A46" s="284"/>
      <c r="B46" s="287" t="s">
        <v>204</v>
      </c>
      <c r="C46" s="288"/>
      <c r="D46" s="288"/>
      <c r="E46" s="288"/>
      <c r="F46" s="288"/>
      <c r="G46" s="288"/>
      <c r="H46" s="288"/>
      <c r="I46" s="288"/>
      <c r="J46" s="286"/>
    </row>
    <row r="47" spans="1:10" ht="12.75" customHeight="1">
      <c r="A47" s="284"/>
      <c r="B47" s="290" t="str">
        <f>D!D85</f>
        <v>Blagojević Nenad 3 Veselinović Nemanja 3 Lazarević Milena 4 Milošević Stefan 4 Rozman Marko 4 </v>
      </c>
      <c r="C47" s="290"/>
      <c r="D47" s="290"/>
      <c r="E47" s="290"/>
      <c r="F47" s="290"/>
      <c r="G47" s="290"/>
      <c r="H47" s="290"/>
      <c r="I47" s="290"/>
      <c r="J47" s="291"/>
    </row>
    <row r="48" spans="1:10" ht="12.75" customHeight="1">
      <c r="A48" s="284"/>
      <c r="B48" s="290"/>
      <c r="C48" s="290"/>
      <c r="D48" s="290"/>
      <c r="E48" s="290"/>
      <c r="F48" s="290"/>
      <c r="G48" s="290"/>
      <c r="H48" s="290"/>
      <c r="I48" s="290"/>
      <c r="J48" s="291"/>
    </row>
    <row r="49" spans="1:10" ht="12.75" customHeight="1">
      <c r="A49" s="284"/>
      <c r="B49" s="292" t="s">
        <v>205</v>
      </c>
      <c r="C49" s="292"/>
      <c r="D49" s="292"/>
      <c r="E49" s="293"/>
      <c r="F49" s="294"/>
      <c r="G49" s="294"/>
      <c r="H49" s="294"/>
      <c r="I49" s="294"/>
      <c r="J49" s="286"/>
    </row>
    <row r="50" spans="1:10" ht="12.75" customHeight="1">
      <c r="A50" s="284"/>
      <c r="B50" s="295"/>
      <c r="C50" s="295"/>
      <c r="D50" s="295"/>
      <c r="E50" s="295"/>
      <c r="F50" s="295"/>
      <c r="G50" s="295"/>
      <c r="H50" s="295"/>
      <c r="I50" s="295"/>
      <c r="J50" s="286"/>
    </row>
    <row r="51" spans="1:10" ht="12.75" customHeight="1">
      <c r="A51" s="284"/>
      <c r="B51" s="295"/>
      <c r="C51" s="295"/>
      <c r="D51" s="295"/>
      <c r="E51" s="295"/>
      <c r="F51" s="295"/>
      <c r="G51" s="295"/>
      <c r="H51" s="295"/>
      <c r="I51" s="295"/>
      <c r="J51" s="286"/>
    </row>
    <row r="52" spans="1:10" ht="49.5" customHeight="1">
      <c r="A52" s="284"/>
      <c r="B52" s="295"/>
      <c r="C52" s="295"/>
      <c r="D52" s="295"/>
      <c r="E52" s="295"/>
      <c r="F52" s="295"/>
      <c r="G52" s="295"/>
      <c r="H52" s="295"/>
      <c r="I52" s="295"/>
      <c r="J52" s="286"/>
    </row>
    <row r="53" spans="1:10" ht="12.75" customHeight="1">
      <c r="A53" s="296"/>
      <c r="B53" s="297"/>
      <c r="C53" s="297"/>
      <c r="D53" s="297"/>
      <c r="E53" s="297"/>
      <c r="F53" s="297"/>
      <c r="G53" s="297"/>
      <c r="H53" s="297"/>
      <c r="I53" s="297"/>
      <c r="J53" s="298"/>
    </row>
    <row r="54" spans="1:10" ht="12.7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</row>
    <row r="55" spans="5:10" ht="12">
      <c r="E55" s="3"/>
      <c r="F55" s="3"/>
      <c r="G55" s="3"/>
      <c r="H55" s="3"/>
      <c r="I55" s="3"/>
      <c r="J55" s="3"/>
    </row>
  </sheetData>
  <mergeCells count="9">
    <mergeCell ref="C3:E3"/>
    <mergeCell ref="G3:H3"/>
    <mergeCell ref="B35:I36"/>
    <mergeCell ref="B38:I39"/>
    <mergeCell ref="B41:I42"/>
    <mergeCell ref="B44:I45"/>
    <mergeCell ref="B47:I48"/>
    <mergeCell ref="B49:D49"/>
    <mergeCell ref="B50:I52"/>
  </mergeCells>
  <printOptions horizontalCentered="1"/>
  <pageMargins left="0.5" right="0.5" top="0.75" bottom="0.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4.28125" style="2" customWidth="1"/>
    <col min="2" max="16384" width="9.00390625" style="2" customWidth="1"/>
  </cols>
  <sheetData>
    <row r="1" ht="12">
      <c r="A1" s="299" t="s">
        <v>0</v>
      </c>
    </row>
    <row r="2" spans="6:10" ht="12.75">
      <c r="F2" s="300" t="s">
        <v>206</v>
      </c>
      <c r="G2" s="300"/>
      <c r="H2" s="300"/>
      <c r="I2" s="300"/>
      <c r="J2" s="300"/>
    </row>
    <row r="3" spans="6:10" ht="12">
      <c r="F3" s="1"/>
      <c r="G3" s="1"/>
      <c r="H3" s="1"/>
      <c r="I3" s="1"/>
      <c r="J3" s="1"/>
    </row>
    <row r="18" spans="6:10" ht="12.75">
      <c r="F18" s="301" t="s">
        <v>96</v>
      </c>
      <c r="G18" s="301"/>
      <c r="H18" s="301"/>
      <c r="I18" s="301"/>
      <c r="J18" s="301"/>
    </row>
  </sheetData>
  <mergeCells count="2">
    <mergeCell ref="F2:J2"/>
    <mergeCell ref="F18:J18"/>
  </mergeCells>
  <printOptions horizontalCentered="1"/>
  <pageMargins left="0.25" right="0.25" top="0.5" bottom="1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44" sqref="A1:IV65536"/>
    </sheetView>
  </sheetViews>
  <sheetFormatPr defaultColWidth="9.140625" defaultRowHeight="12.75"/>
  <cols>
    <col min="1" max="16384" width="9.140625" style="153" customWidth="1"/>
  </cols>
  <sheetData>
    <row r="1" ht="12">
      <c r="A1" s="302" t="s">
        <v>0</v>
      </c>
    </row>
  </sheetData>
  <printOptions horizontalCentered="1"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S25" sqref="A1:IV65536"/>
    </sheetView>
  </sheetViews>
  <sheetFormatPr defaultColWidth="9.140625" defaultRowHeight="12.75"/>
  <cols>
    <col min="1" max="1" width="4.28125" style="2" customWidth="1"/>
    <col min="2" max="2" width="23.421875" style="2" customWidth="1"/>
    <col min="3" max="16" width="4.8515625" style="2" customWidth="1"/>
    <col min="17" max="20" width="6.57421875" style="2" customWidth="1"/>
    <col min="21" max="22" width="6.00390625" style="2" customWidth="1"/>
    <col min="23" max="23" width="3.7109375" style="2" customWidth="1"/>
    <col min="24" max="16384" width="9.00390625" style="2" customWidth="1"/>
  </cols>
  <sheetData>
    <row r="1" spans="1:23" ht="12">
      <c r="A1" s="4" t="s">
        <v>0</v>
      </c>
      <c r="B1" s="5"/>
      <c r="C1" s="6" t="s">
        <v>1</v>
      </c>
      <c r="D1" s="6"/>
      <c r="E1" s="7">
        <v>5</v>
      </c>
      <c r="F1" s="7" t="s">
        <v>2</v>
      </c>
      <c r="G1" s="7"/>
      <c r="H1" s="7"/>
      <c r="I1" s="7">
        <v>1</v>
      </c>
      <c r="J1" s="7" t="s">
        <v>3</v>
      </c>
      <c r="K1" s="7"/>
      <c r="L1" s="7"/>
      <c r="M1" s="9">
        <v>2</v>
      </c>
      <c r="N1" s="7" t="s">
        <v>4</v>
      </c>
      <c r="O1" s="7"/>
      <c r="P1" s="7"/>
      <c r="Q1" s="7"/>
      <c r="R1" s="7"/>
      <c r="S1" s="9" t="s">
        <v>43</v>
      </c>
      <c r="T1" s="9" t="s">
        <v>45</v>
      </c>
      <c r="U1" s="9"/>
      <c r="V1" s="10"/>
      <c r="W1" s="11" t="s">
        <v>7</v>
      </c>
    </row>
    <row r="2" spans="1:23" ht="12">
      <c r="A2" s="15"/>
      <c r="B2" s="16" t="s">
        <v>8</v>
      </c>
      <c r="C2" s="17" t="s">
        <v>9</v>
      </c>
      <c r="D2" s="18" t="s">
        <v>10</v>
      </c>
      <c r="E2" s="18" t="s">
        <v>11</v>
      </c>
      <c r="F2" s="18" t="s">
        <v>12</v>
      </c>
      <c r="G2" s="19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20" t="s">
        <v>28</v>
      </c>
      <c r="W2" s="15"/>
    </row>
    <row r="3" spans="1:23" ht="12">
      <c r="A3" s="15">
        <v>1</v>
      </c>
      <c r="B3" s="21" t="s">
        <v>29</v>
      </c>
      <c r="C3" s="303">
        <v>5</v>
      </c>
      <c r="D3" s="23">
        <v>5</v>
      </c>
      <c r="E3" s="23">
        <v>5</v>
      </c>
      <c r="F3" s="23">
        <v>5</v>
      </c>
      <c r="G3" s="23">
        <v>5</v>
      </c>
      <c r="H3" s="23">
        <v>5</v>
      </c>
      <c r="I3" s="23"/>
      <c r="J3" s="23">
        <v>5</v>
      </c>
      <c r="K3" s="23">
        <v>5</v>
      </c>
      <c r="L3" s="23"/>
      <c r="M3" s="23">
        <v>5</v>
      </c>
      <c r="N3" s="23">
        <v>5</v>
      </c>
      <c r="O3" s="23"/>
      <c r="P3" s="23">
        <v>5</v>
      </c>
      <c r="Q3" s="24">
        <v>0</v>
      </c>
      <c r="R3" s="25">
        <v>0</v>
      </c>
      <c r="S3" s="24">
        <v>0</v>
      </c>
      <c r="T3" s="25">
        <v>0</v>
      </c>
      <c r="U3" s="26">
        <v>5</v>
      </c>
      <c r="V3" s="27" t="s">
        <v>30</v>
      </c>
      <c r="W3" s="15"/>
    </row>
    <row r="4" spans="1:23" ht="12">
      <c r="A4" s="15">
        <v>2</v>
      </c>
      <c r="B4" s="28" t="s">
        <v>32</v>
      </c>
      <c r="C4" s="29">
        <v>2</v>
      </c>
      <c r="D4" s="30">
        <v>3</v>
      </c>
      <c r="E4" s="30">
        <v>4</v>
      </c>
      <c r="F4" s="30">
        <v>4</v>
      </c>
      <c r="G4" s="30">
        <v>2</v>
      </c>
      <c r="H4" s="30">
        <v>3</v>
      </c>
      <c r="I4" s="30"/>
      <c r="J4" s="30">
        <v>2</v>
      </c>
      <c r="K4" s="30">
        <v>3</v>
      </c>
      <c r="L4" s="30"/>
      <c r="M4" s="30">
        <v>4</v>
      </c>
      <c r="N4" s="30">
        <v>5</v>
      </c>
      <c r="O4" s="30"/>
      <c r="P4" s="30"/>
      <c r="Q4" s="31">
        <v>21</v>
      </c>
      <c r="R4" s="32">
        <v>2</v>
      </c>
      <c r="S4" s="31">
        <v>0</v>
      </c>
      <c r="T4" s="32">
        <v>2</v>
      </c>
      <c r="U4" s="33">
        <v>5</v>
      </c>
      <c r="V4" s="27" t="s">
        <v>31</v>
      </c>
      <c r="W4" s="15"/>
    </row>
    <row r="5" spans="1:23" ht="12">
      <c r="A5" s="15">
        <v>3</v>
      </c>
      <c r="B5" s="28" t="s">
        <v>33</v>
      </c>
      <c r="C5" s="29">
        <v>4</v>
      </c>
      <c r="D5" s="30">
        <v>5</v>
      </c>
      <c r="E5" s="30">
        <v>5</v>
      </c>
      <c r="F5" s="30">
        <v>5</v>
      </c>
      <c r="G5" s="30">
        <v>5</v>
      </c>
      <c r="H5" s="30">
        <v>5</v>
      </c>
      <c r="I5" s="30"/>
      <c r="J5" s="30">
        <v>4</v>
      </c>
      <c r="K5" s="30">
        <v>5</v>
      </c>
      <c r="L5" s="30"/>
      <c r="M5" s="30">
        <v>5</v>
      </c>
      <c r="N5" s="30">
        <v>4</v>
      </c>
      <c r="O5" s="30"/>
      <c r="P5" s="30">
        <v>5</v>
      </c>
      <c r="Q5" s="31">
        <v>58</v>
      </c>
      <c r="R5" s="32">
        <v>1</v>
      </c>
      <c r="S5" s="31">
        <v>37</v>
      </c>
      <c r="T5" s="32">
        <v>0</v>
      </c>
      <c r="U5" s="33">
        <v>5</v>
      </c>
      <c r="V5" s="27" t="s">
        <v>30</v>
      </c>
      <c r="W5" s="15"/>
    </row>
    <row r="6" spans="1:23" ht="12">
      <c r="A6" s="15">
        <v>4</v>
      </c>
      <c r="B6" s="34" t="s">
        <v>34</v>
      </c>
      <c r="C6" s="29">
        <v>5</v>
      </c>
      <c r="D6" s="30">
        <v>5</v>
      </c>
      <c r="E6" s="30">
        <v>5</v>
      </c>
      <c r="F6" s="30">
        <v>5</v>
      </c>
      <c r="G6" s="30">
        <v>5</v>
      </c>
      <c r="H6" s="30">
        <v>5</v>
      </c>
      <c r="I6" s="30"/>
      <c r="J6" s="30">
        <v>5</v>
      </c>
      <c r="K6" s="30">
        <v>5</v>
      </c>
      <c r="L6" s="30"/>
      <c r="M6" s="30">
        <v>5</v>
      </c>
      <c r="N6" s="30">
        <v>5</v>
      </c>
      <c r="O6" s="30"/>
      <c r="P6" s="30">
        <v>5</v>
      </c>
      <c r="Q6" s="31">
        <v>19</v>
      </c>
      <c r="R6" s="32">
        <v>0</v>
      </c>
      <c r="S6" s="31">
        <v>15</v>
      </c>
      <c r="T6" s="32">
        <v>0</v>
      </c>
      <c r="U6" s="33">
        <v>5</v>
      </c>
      <c r="V6" s="27" t="s">
        <v>30</v>
      </c>
      <c r="W6" s="15"/>
    </row>
    <row r="7" spans="1:23" ht="12">
      <c r="A7" s="15">
        <v>5</v>
      </c>
      <c r="B7" s="28" t="s">
        <v>35</v>
      </c>
      <c r="C7" s="29">
        <v>4</v>
      </c>
      <c r="D7" s="30">
        <v>5</v>
      </c>
      <c r="E7" s="30">
        <v>4</v>
      </c>
      <c r="F7" s="30">
        <v>5</v>
      </c>
      <c r="G7" s="30">
        <v>5</v>
      </c>
      <c r="H7" s="30">
        <v>5</v>
      </c>
      <c r="I7" s="30"/>
      <c r="J7" s="30">
        <v>3</v>
      </c>
      <c r="K7" s="30">
        <v>5</v>
      </c>
      <c r="L7" s="30"/>
      <c r="M7" s="30">
        <v>5</v>
      </c>
      <c r="N7" s="30">
        <v>5</v>
      </c>
      <c r="O7" s="30"/>
      <c r="P7" s="30">
        <v>5</v>
      </c>
      <c r="Q7" s="31">
        <v>56</v>
      </c>
      <c r="R7" s="32">
        <v>1</v>
      </c>
      <c r="S7" s="31">
        <v>6</v>
      </c>
      <c r="T7" s="32">
        <v>1</v>
      </c>
      <c r="U7" s="33">
        <v>5</v>
      </c>
      <c r="V7" s="27" t="s">
        <v>31</v>
      </c>
      <c r="W7" s="15"/>
    </row>
    <row r="8" spans="1:23" ht="12">
      <c r="A8" s="15">
        <v>6</v>
      </c>
      <c r="B8" s="34" t="s">
        <v>36</v>
      </c>
      <c r="C8" s="29">
        <v>3</v>
      </c>
      <c r="D8" s="30">
        <v>2</v>
      </c>
      <c r="E8" s="30">
        <v>5</v>
      </c>
      <c r="F8" s="30">
        <v>4</v>
      </c>
      <c r="G8" s="30">
        <v>3</v>
      </c>
      <c r="H8" s="30">
        <v>4</v>
      </c>
      <c r="I8" s="30"/>
      <c r="J8" s="30">
        <v>2</v>
      </c>
      <c r="K8" s="30">
        <v>4</v>
      </c>
      <c r="L8" s="30"/>
      <c r="M8" s="30">
        <v>5</v>
      </c>
      <c r="N8" s="30">
        <v>5</v>
      </c>
      <c r="O8" s="30"/>
      <c r="P8" s="30"/>
      <c r="Q8" s="31">
        <v>10</v>
      </c>
      <c r="R8" s="32">
        <v>0</v>
      </c>
      <c r="S8" s="31">
        <v>26</v>
      </c>
      <c r="T8" s="32">
        <v>0</v>
      </c>
      <c r="U8" s="33">
        <v>5</v>
      </c>
      <c r="V8" s="27" t="s">
        <v>31</v>
      </c>
      <c r="W8" s="15"/>
    </row>
    <row r="9" spans="1:23" ht="12">
      <c r="A9" s="15">
        <v>7</v>
      </c>
      <c r="B9" s="34" t="s">
        <v>38</v>
      </c>
      <c r="C9" s="29">
        <v>4</v>
      </c>
      <c r="D9" s="30">
        <v>4</v>
      </c>
      <c r="E9" s="30">
        <v>5</v>
      </c>
      <c r="F9" s="30">
        <v>5</v>
      </c>
      <c r="G9" s="30">
        <v>2</v>
      </c>
      <c r="H9" s="30">
        <v>4</v>
      </c>
      <c r="I9" s="30"/>
      <c r="J9" s="30">
        <v>2</v>
      </c>
      <c r="K9" s="30">
        <v>4</v>
      </c>
      <c r="L9" s="30"/>
      <c r="M9" s="30">
        <v>5</v>
      </c>
      <c r="N9" s="30">
        <v>5</v>
      </c>
      <c r="O9" s="30"/>
      <c r="P9" s="30">
        <v>5</v>
      </c>
      <c r="Q9" s="31">
        <v>52</v>
      </c>
      <c r="R9" s="32">
        <v>3</v>
      </c>
      <c r="S9" s="31">
        <v>15</v>
      </c>
      <c r="T9" s="32">
        <v>3</v>
      </c>
      <c r="U9" s="33">
        <v>5</v>
      </c>
      <c r="V9" s="27" t="s">
        <v>30</v>
      </c>
      <c r="W9" s="15"/>
    </row>
    <row r="10" spans="1:23" ht="12">
      <c r="A10" s="15">
        <v>8</v>
      </c>
      <c r="B10" s="34" t="s">
        <v>40</v>
      </c>
      <c r="C10" s="29">
        <v>5</v>
      </c>
      <c r="D10" s="30">
        <v>5</v>
      </c>
      <c r="E10" s="30">
        <v>5</v>
      </c>
      <c r="F10" s="30">
        <v>5</v>
      </c>
      <c r="G10" s="30">
        <v>5</v>
      </c>
      <c r="H10" s="30">
        <v>5</v>
      </c>
      <c r="I10" s="30"/>
      <c r="J10" s="30">
        <v>5</v>
      </c>
      <c r="K10" s="30">
        <v>5</v>
      </c>
      <c r="L10" s="30"/>
      <c r="M10" s="30">
        <v>5</v>
      </c>
      <c r="N10" s="30">
        <v>5</v>
      </c>
      <c r="O10" s="30"/>
      <c r="P10" s="30"/>
      <c r="Q10" s="31">
        <v>30</v>
      </c>
      <c r="R10" s="32">
        <v>0</v>
      </c>
      <c r="S10" s="31">
        <v>28</v>
      </c>
      <c r="T10" s="32">
        <v>0</v>
      </c>
      <c r="U10" s="33">
        <v>5</v>
      </c>
      <c r="V10" s="27" t="s">
        <v>30</v>
      </c>
      <c r="W10" s="15"/>
    </row>
    <row r="11" spans="1:23" ht="12">
      <c r="A11" s="15">
        <v>9</v>
      </c>
      <c r="B11" s="34" t="s">
        <v>42</v>
      </c>
      <c r="C11" s="29">
        <v>5</v>
      </c>
      <c r="D11" s="30">
        <v>5</v>
      </c>
      <c r="E11" s="30">
        <v>5</v>
      </c>
      <c r="F11" s="30">
        <v>5</v>
      </c>
      <c r="G11" s="30">
        <v>5</v>
      </c>
      <c r="H11" s="30">
        <v>5</v>
      </c>
      <c r="I11" s="30"/>
      <c r="J11" s="30">
        <v>5</v>
      </c>
      <c r="K11" s="30">
        <v>5</v>
      </c>
      <c r="L11" s="30"/>
      <c r="M11" s="30">
        <v>5</v>
      </c>
      <c r="N11" s="30">
        <v>5</v>
      </c>
      <c r="O11" s="30"/>
      <c r="P11" s="30">
        <v>5</v>
      </c>
      <c r="Q11" s="31">
        <v>50</v>
      </c>
      <c r="R11" s="32">
        <v>0</v>
      </c>
      <c r="S11" s="31">
        <v>46</v>
      </c>
      <c r="T11" s="32">
        <v>0</v>
      </c>
      <c r="U11" s="33">
        <v>5</v>
      </c>
      <c r="V11" s="27" t="s">
        <v>30</v>
      </c>
      <c r="W11" s="15"/>
    </row>
    <row r="12" spans="1:23" ht="12">
      <c r="A12" s="15">
        <v>10</v>
      </c>
      <c r="B12" s="34" t="s">
        <v>44</v>
      </c>
      <c r="C12" s="29">
        <v>4</v>
      </c>
      <c r="D12" s="30">
        <v>5</v>
      </c>
      <c r="E12" s="30">
        <v>5</v>
      </c>
      <c r="F12" s="30">
        <v>4</v>
      </c>
      <c r="G12" s="30">
        <v>5</v>
      </c>
      <c r="H12" s="30">
        <v>5</v>
      </c>
      <c r="I12" s="30"/>
      <c r="J12" s="30">
        <v>4</v>
      </c>
      <c r="K12" s="30">
        <v>5</v>
      </c>
      <c r="L12" s="30"/>
      <c r="M12" s="30">
        <v>5</v>
      </c>
      <c r="N12" s="30">
        <v>5</v>
      </c>
      <c r="O12" s="30"/>
      <c r="P12" s="30">
        <v>5</v>
      </c>
      <c r="Q12" s="31">
        <v>44</v>
      </c>
      <c r="R12" s="32">
        <v>0</v>
      </c>
      <c r="S12" s="31">
        <v>32</v>
      </c>
      <c r="T12" s="32">
        <v>0</v>
      </c>
      <c r="U12" s="33">
        <v>5</v>
      </c>
      <c r="V12" s="27" t="s">
        <v>31</v>
      </c>
      <c r="W12" s="15"/>
    </row>
    <row r="13" spans="1:23" ht="12">
      <c r="A13" s="15">
        <v>11</v>
      </c>
      <c r="B13" s="34" t="s">
        <v>46</v>
      </c>
      <c r="C13" s="29">
        <v>2</v>
      </c>
      <c r="D13" s="30">
        <v>2</v>
      </c>
      <c r="E13" s="30">
        <v>5</v>
      </c>
      <c r="F13" s="30">
        <v>5</v>
      </c>
      <c r="G13" s="30">
        <v>2</v>
      </c>
      <c r="H13" s="30">
        <v>4</v>
      </c>
      <c r="I13" s="30"/>
      <c r="J13" s="30">
        <v>2</v>
      </c>
      <c r="K13" s="30">
        <v>3</v>
      </c>
      <c r="L13" s="30"/>
      <c r="M13" s="30">
        <v>5</v>
      </c>
      <c r="N13" s="30">
        <v>5</v>
      </c>
      <c r="O13" s="30"/>
      <c r="P13" s="30"/>
      <c r="Q13" s="31">
        <v>49</v>
      </c>
      <c r="R13" s="32">
        <v>0</v>
      </c>
      <c r="S13" s="31">
        <v>8</v>
      </c>
      <c r="T13" s="32">
        <v>1</v>
      </c>
      <c r="U13" s="33">
        <v>5</v>
      </c>
      <c r="V13" s="27" t="s">
        <v>30</v>
      </c>
      <c r="W13" s="15"/>
    </row>
    <row r="14" spans="1:23" ht="12">
      <c r="A14" s="15">
        <v>12</v>
      </c>
      <c r="B14" s="34" t="s">
        <v>48</v>
      </c>
      <c r="C14" s="29">
        <v>5</v>
      </c>
      <c r="D14" s="30">
        <v>5</v>
      </c>
      <c r="E14" s="30">
        <v>5</v>
      </c>
      <c r="F14" s="30">
        <v>5</v>
      </c>
      <c r="G14" s="30">
        <v>5</v>
      </c>
      <c r="H14" s="30">
        <v>5</v>
      </c>
      <c r="I14" s="30"/>
      <c r="J14" s="30">
        <v>5</v>
      </c>
      <c r="K14" s="30">
        <v>5</v>
      </c>
      <c r="L14" s="30"/>
      <c r="M14" s="30">
        <v>5</v>
      </c>
      <c r="N14" s="30">
        <v>5</v>
      </c>
      <c r="O14" s="30"/>
      <c r="P14" s="30">
        <v>5</v>
      </c>
      <c r="Q14" s="31">
        <v>22</v>
      </c>
      <c r="R14" s="32">
        <v>0</v>
      </c>
      <c r="S14" s="31">
        <v>30</v>
      </c>
      <c r="T14" s="32">
        <v>0</v>
      </c>
      <c r="U14" s="33">
        <v>5</v>
      </c>
      <c r="V14" s="27" t="s">
        <v>30</v>
      </c>
      <c r="W14" s="15"/>
    </row>
    <row r="15" spans="1:23" ht="12">
      <c r="A15" s="15">
        <v>13</v>
      </c>
      <c r="B15" s="34" t="s">
        <v>49</v>
      </c>
      <c r="C15" s="29">
        <v>4</v>
      </c>
      <c r="D15" s="30">
        <v>4</v>
      </c>
      <c r="E15" s="30">
        <v>5</v>
      </c>
      <c r="F15" s="30">
        <v>5</v>
      </c>
      <c r="G15" s="30">
        <v>5</v>
      </c>
      <c r="H15" s="30">
        <v>5</v>
      </c>
      <c r="I15" s="30"/>
      <c r="J15" s="30">
        <v>4</v>
      </c>
      <c r="K15" s="30">
        <v>5</v>
      </c>
      <c r="L15" s="30"/>
      <c r="M15" s="30">
        <v>5</v>
      </c>
      <c r="N15" s="30">
        <v>5</v>
      </c>
      <c r="O15" s="30"/>
      <c r="P15" s="30"/>
      <c r="Q15" s="31">
        <v>25</v>
      </c>
      <c r="R15" s="32">
        <v>0</v>
      </c>
      <c r="S15" s="31">
        <v>5</v>
      </c>
      <c r="T15" s="32">
        <v>0</v>
      </c>
      <c r="U15" s="33">
        <v>5</v>
      </c>
      <c r="V15" s="27" t="s">
        <v>31</v>
      </c>
      <c r="W15" s="15"/>
    </row>
    <row r="16" spans="1:23" ht="12">
      <c r="A16" s="15">
        <v>14</v>
      </c>
      <c r="B16" s="28" t="s">
        <v>50</v>
      </c>
      <c r="C16" s="29">
        <v>5</v>
      </c>
      <c r="D16" s="30">
        <v>5</v>
      </c>
      <c r="E16" s="30">
        <v>5</v>
      </c>
      <c r="F16" s="30">
        <v>5</v>
      </c>
      <c r="G16" s="30">
        <v>5</v>
      </c>
      <c r="H16" s="30">
        <v>5</v>
      </c>
      <c r="I16" s="30"/>
      <c r="J16" s="30">
        <v>5</v>
      </c>
      <c r="K16" s="30">
        <v>5</v>
      </c>
      <c r="L16" s="30"/>
      <c r="M16" s="30">
        <v>5</v>
      </c>
      <c r="N16" s="30">
        <v>5</v>
      </c>
      <c r="O16" s="30"/>
      <c r="P16" s="30"/>
      <c r="Q16" s="31">
        <v>36</v>
      </c>
      <c r="R16" s="32">
        <v>0</v>
      </c>
      <c r="S16" s="31">
        <v>53</v>
      </c>
      <c r="T16" s="32">
        <v>0</v>
      </c>
      <c r="U16" s="33">
        <v>5</v>
      </c>
      <c r="V16" s="27" t="s">
        <v>30</v>
      </c>
      <c r="W16" s="15"/>
    </row>
    <row r="17" spans="1:23" ht="12">
      <c r="A17" s="15">
        <v>15</v>
      </c>
      <c r="B17" s="34" t="s">
        <v>52</v>
      </c>
      <c r="C17" s="29">
        <v>3</v>
      </c>
      <c r="D17" s="30">
        <v>5</v>
      </c>
      <c r="E17" s="30">
        <v>5</v>
      </c>
      <c r="F17" s="30">
        <v>5</v>
      </c>
      <c r="G17" s="30">
        <v>3</v>
      </c>
      <c r="H17" s="30">
        <v>3</v>
      </c>
      <c r="I17" s="30"/>
      <c r="J17" s="30">
        <v>2</v>
      </c>
      <c r="K17" s="30">
        <v>4</v>
      </c>
      <c r="L17" s="30"/>
      <c r="M17" s="30">
        <v>5</v>
      </c>
      <c r="N17" s="30">
        <v>5</v>
      </c>
      <c r="O17" s="30"/>
      <c r="P17" s="30"/>
      <c r="Q17" s="31">
        <v>14</v>
      </c>
      <c r="R17" s="32">
        <v>0</v>
      </c>
      <c r="S17" s="31">
        <v>5</v>
      </c>
      <c r="T17" s="32">
        <v>0</v>
      </c>
      <c r="U17" s="33">
        <v>5</v>
      </c>
      <c r="V17" s="27" t="s">
        <v>31</v>
      </c>
      <c r="W17" s="15"/>
    </row>
    <row r="18" spans="1:23" ht="12">
      <c r="A18" s="15">
        <v>16</v>
      </c>
      <c r="B18" s="34" t="s">
        <v>54</v>
      </c>
      <c r="C18" s="29">
        <v>5</v>
      </c>
      <c r="D18" s="30">
        <v>5</v>
      </c>
      <c r="E18" s="30">
        <v>5</v>
      </c>
      <c r="F18" s="30">
        <v>5</v>
      </c>
      <c r="G18" s="30">
        <v>5</v>
      </c>
      <c r="H18" s="30">
        <v>5</v>
      </c>
      <c r="I18" s="30"/>
      <c r="J18" s="30">
        <v>5</v>
      </c>
      <c r="K18" s="30">
        <v>5</v>
      </c>
      <c r="L18" s="30"/>
      <c r="M18" s="30">
        <v>5</v>
      </c>
      <c r="N18" s="30">
        <v>5</v>
      </c>
      <c r="O18" s="30"/>
      <c r="P18" s="30">
        <v>5</v>
      </c>
      <c r="Q18" s="31">
        <v>51</v>
      </c>
      <c r="R18" s="32">
        <v>0</v>
      </c>
      <c r="S18" s="31">
        <v>21</v>
      </c>
      <c r="T18" s="32">
        <v>0</v>
      </c>
      <c r="U18" s="33">
        <v>5</v>
      </c>
      <c r="V18" s="27" t="s">
        <v>30</v>
      </c>
      <c r="W18" s="15"/>
    </row>
    <row r="19" spans="1:23" ht="12">
      <c r="A19" s="15">
        <v>17</v>
      </c>
      <c r="B19" s="34" t="s">
        <v>56</v>
      </c>
      <c r="C19" s="29">
        <v>4</v>
      </c>
      <c r="D19" s="30">
        <v>5</v>
      </c>
      <c r="E19" s="30">
        <v>5</v>
      </c>
      <c r="F19" s="30">
        <v>5</v>
      </c>
      <c r="G19" s="30">
        <v>4</v>
      </c>
      <c r="H19" s="30">
        <v>5</v>
      </c>
      <c r="I19" s="30"/>
      <c r="J19" s="30">
        <v>3</v>
      </c>
      <c r="K19" s="30">
        <v>5</v>
      </c>
      <c r="L19" s="30"/>
      <c r="M19" s="30">
        <v>5</v>
      </c>
      <c r="N19" s="30">
        <v>5</v>
      </c>
      <c r="O19" s="30"/>
      <c r="P19" s="30"/>
      <c r="Q19" s="31">
        <v>10</v>
      </c>
      <c r="R19" s="32">
        <v>0</v>
      </c>
      <c r="S19" s="31">
        <v>23</v>
      </c>
      <c r="T19" s="32">
        <v>0</v>
      </c>
      <c r="U19" s="33">
        <v>5</v>
      </c>
      <c r="V19" s="27" t="s">
        <v>31</v>
      </c>
      <c r="W19" s="15"/>
    </row>
    <row r="20" spans="1:23" ht="12">
      <c r="A20" s="15">
        <v>18</v>
      </c>
      <c r="B20" s="34" t="s">
        <v>58</v>
      </c>
      <c r="C20" s="29">
        <v>5</v>
      </c>
      <c r="D20" s="30">
        <v>5</v>
      </c>
      <c r="E20" s="30">
        <v>5</v>
      </c>
      <c r="F20" s="30">
        <v>5</v>
      </c>
      <c r="G20" s="30">
        <v>5</v>
      </c>
      <c r="H20" s="30">
        <v>5</v>
      </c>
      <c r="I20" s="30"/>
      <c r="J20" s="30">
        <v>5</v>
      </c>
      <c r="K20" s="30">
        <v>5</v>
      </c>
      <c r="L20" s="30"/>
      <c r="M20" s="30">
        <v>5</v>
      </c>
      <c r="N20" s="30">
        <v>5</v>
      </c>
      <c r="O20" s="30"/>
      <c r="P20" s="30">
        <v>5</v>
      </c>
      <c r="Q20" s="31">
        <v>9</v>
      </c>
      <c r="R20" s="32">
        <v>0</v>
      </c>
      <c r="S20" s="31">
        <v>13</v>
      </c>
      <c r="T20" s="32">
        <v>0</v>
      </c>
      <c r="U20" s="33">
        <v>5</v>
      </c>
      <c r="V20" s="27" t="s">
        <v>30</v>
      </c>
      <c r="W20" s="15"/>
    </row>
    <row r="21" spans="1:23" ht="12">
      <c r="A21" s="15">
        <v>19</v>
      </c>
      <c r="B21" s="34" t="s">
        <v>60</v>
      </c>
      <c r="C21" s="29">
        <v>2</v>
      </c>
      <c r="D21" s="30">
        <v>3</v>
      </c>
      <c r="E21" s="30">
        <v>5</v>
      </c>
      <c r="F21" s="30">
        <v>4</v>
      </c>
      <c r="G21" s="30">
        <v>3</v>
      </c>
      <c r="H21" s="30">
        <v>3</v>
      </c>
      <c r="I21" s="30"/>
      <c r="J21" s="30">
        <v>2</v>
      </c>
      <c r="K21" s="30">
        <v>4</v>
      </c>
      <c r="L21" s="30"/>
      <c r="M21" s="30">
        <v>5</v>
      </c>
      <c r="N21" s="30">
        <v>4</v>
      </c>
      <c r="O21" s="30"/>
      <c r="P21" s="30"/>
      <c r="Q21" s="31">
        <v>10</v>
      </c>
      <c r="R21" s="32">
        <v>0</v>
      </c>
      <c r="S21" s="31">
        <v>11</v>
      </c>
      <c r="T21" s="32">
        <v>1</v>
      </c>
      <c r="U21" s="33">
        <v>5</v>
      </c>
      <c r="V21" s="27" t="s">
        <v>31</v>
      </c>
      <c r="W21" s="15"/>
    </row>
    <row r="22" spans="1:23" ht="12">
      <c r="A22" s="15">
        <v>20</v>
      </c>
      <c r="B22" s="34" t="s">
        <v>62</v>
      </c>
      <c r="C22" s="29">
        <v>2</v>
      </c>
      <c r="D22" s="30">
        <v>2</v>
      </c>
      <c r="E22" s="30">
        <v>5</v>
      </c>
      <c r="F22" s="30">
        <v>4</v>
      </c>
      <c r="G22" s="30">
        <v>3</v>
      </c>
      <c r="H22" s="30">
        <v>3</v>
      </c>
      <c r="I22" s="30"/>
      <c r="J22" s="30">
        <v>3</v>
      </c>
      <c r="K22" s="30">
        <v>4</v>
      </c>
      <c r="L22" s="30"/>
      <c r="M22" s="30">
        <v>5</v>
      </c>
      <c r="N22" s="30">
        <v>4</v>
      </c>
      <c r="O22" s="30"/>
      <c r="P22" s="30"/>
      <c r="Q22" s="31">
        <v>23</v>
      </c>
      <c r="R22" s="32">
        <v>0</v>
      </c>
      <c r="S22" s="31">
        <v>39</v>
      </c>
      <c r="T22" s="32">
        <v>0</v>
      </c>
      <c r="U22" s="33">
        <v>5</v>
      </c>
      <c r="V22" s="27" t="s">
        <v>31</v>
      </c>
      <c r="W22" s="15"/>
    </row>
    <row r="23" spans="1:23" ht="12">
      <c r="A23" s="15">
        <v>21</v>
      </c>
      <c r="B23" s="34" t="s">
        <v>64</v>
      </c>
      <c r="C23" s="29">
        <v>2</v>
      </c>
      <c r="D23" s="30">
        <v>2</v>
      </c>
      <c r="E23" s="30">
        <v>5</v>
      </c>
      <c r="F23" s="30">
        <v>4</v>
      </c>
      <c r="G23" s="30">
        <v>2</v>
      </c>
      <c r="H23" s="30">
        <v>2</v>
      </c>
      <c r="I23" s="30"/>
      <c r="J23" s="30">
        <v>2</v>
      </c>
      <c r="K23" s="30">
        <v>3</v>
      </c>
      <c r="L23" s="30"/>
      <c r="M23" s="30">
        <v>5</v>
      </c>
      <c r="N23" s="30">
        <v>4</v>
      </c>
      <c r="O23" s="30"/>
      <c r="P23" s="30"/>
      <c r="Q23" s="31">
        <v>2</v>
      </c>
      <c r="R23" s="32">
        <v>0</v>
      </c>
      <c r="S23" s="31">
        <v>0</v>
      </c>
      <c r="T23" s="32">
        <v>1</v>
      </c>
      <c r="U23" s="33">
        <v>5</v>
      </c>
      <c r="V23" s="27" t="s">
        <v>30</v>
      </c>
      <c r="W23" s="15"/>
    </row>
    <row r="24" spans="1:23" ht="12">
      <c r="A24" s="15">
        <v>22</v>
      </c>
      <c r="B24" s="34" t="s">
        <v>207</v>
      </c>
      <c r="C24" s="29">
        <v>5</v>
      </c>
      <c r="D24" s="30">
        <v>5</v>
      </c>
      <c r="E24" s="30">
        <v>5</v>
      </c>
      <c r="F24" s="30">
        <v>5</v>
      </c>
      <c r="G24" s="30">
        <v>5</v>
      </c>
      <c r="H24" s="30">
        <v>5</v>
      </c>
      <c r="I24" s="30"/>
      <c r="J24" s="30">
        <v>5</v>
      </c>
      <c r="K24" s="30">
        <v>5</v>
      </c>
      <c r="L24" s="30"/>
      <c r="M24" s="30">
        <v>5</v>
      </c>
      <c r="N24" s="30">
        <v>5</v>
      </c>
      <c r="O24" s="30"/>
      <c r="P24" s="30">
        <v>5</v>
      </c>
      <c r="Q24" s="31">
        <v>0</v>
      </c>
      <c r="R24" s="32">
        <v>0</v>
      </c>
      <c r="S24" s="31">
        <v>26</v>
      </c>
      <c r="T24" s="32">
        <v>0</v>
      </c>
      <c r="U24" s="33">
        <v>5</v>
      </c>
      <c r="V24" s="27" t="s">
        <v>30</v>
      </c>
      <c r="W24" s="15"/>
    </row>
    <row r="25" spans="1:23" ht="12">
      <c r="A25" s="15">
        <v>23</v>
      </c>
      <c r="B25" s="34"/>
      <c r="C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1"/>
      <c r="R25" s="32"/>
      <c r="S25" s="31"/>
      <c r="T25" s="32"/>
      <c r="U25" s="37"/>
      <c r="V25" s="27"/>
      <c r="W25" s="15"/>
    </row>
    <row r="26" spans="1:23" ht="12">
      <c r="A26" s="15">
        <v>24</v>
      </c>
      <c r="B26" s="34"/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2"/>
      <c r="S26" s="31"/>
      <c r="T26" s="32"/>
      <c r="U26" s="37"/>
      <c r="V26" s="27"/>
      <c r="W26" s="15"/>
    </row>
    <row r="27" spans="1:23" ht="12">
      <c r="A27" s="15">
        <v>25</v>
      </c>
      <c r="B27" s="28"/>
      <c r="C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1"/>
      <c r="R27" s="32"/>
      <c r="S27" s="31"/>
      <c r="T27" s="32"/>
      <c r="U27" s="37"/>
      <c r="V27" s="27"/>
      <c r="W27" s="15"/>
    </row>
    <row r="28" spans="1:23" ht="12">
      <c r="A28" s="15">
        <v>26</v>
      </c>
      <c r="B28" s="34"/>
      <c r="C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1"/>
      <c r="R28" s="32"/>
      <c r="S28" s="31"/>
      <c r="T28" s="32"/>
      <c r="U28" s="37"/>
      <c r="V28" s="27"/>
      <c r="W28" s="15"/>
    </row>
    <row r="29" spans="1:23" ht="12">
      <c r="A29" s="15">
        <v>27</v>
      </c>
      <c r="B29" s="34"/>
      <c r="C29" s="2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1"/>
      <c r="R29" s="32"/>
      <c r="S29" s="31"/>
      <c r="T29" s="32"/>
      <c r="U29" s="37"/>
      <c r="V29" s="27"/>
      <c r="W29" s="15"/>
    </row>
    <row r="30" spans="1:23" ht="12">
      <c r="A30" s="15">
        <v>28</v>
      </c>
      <c r="B30" s="34"/>
      <c r="C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/>
      <c r="R30" s="32"/>
      <c r="S30" s="31"/>
      <c r="T30" s="32"/>
      <c r="U30" s="37"/>
      <c r="V30" s="27"/>
      <c r="W30" s="15"/>
    </row>
    <row r="31" spans="1:23" ht="12">
      <c r="A31" s="15">
        <v>29</v>
      </c>
      <c r="B31" s="34"/>
      <c r="C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1"/>
      <c r="R31" s="32"/>
      <c r="S31" s="31"/>
      <c r="T31" s="32"/>
      <c r="U31" s="37"/>
      <c r="V31" s="27"/>
      <c r="W31" s="15"/>
    </row>
    <row r="32" spans="1:23" ht="12">
      <c r="A32" s="15">
        <v>30</v>
      </c>
      <c r="B32" s="28"/>
      <c r="C32" s="2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1"/>
      <c r="R32" s="32"/>
      <c r="S32" s="31"/>
      <c r="T32" s="32"/>
      <c r="U32" s="37"/>
      <c r="V32" s="27"/>
      <c r="W32" s="15"/>
    </row>
    <row r="33" spans="1:23" ht="12">
      <c r="A33" s="15">
        <v>31</v>
      </c>
      <c r="B33" s="34"/>
      <c r="C33" s="2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1"/>
      <c r="R33" s="32"/>
      <c r="S33" s="31"/>
      <c r="T33" s="32"/>
      <c r="U33" s="37"/>
      <c r="V33" s="27"/>
      <c r="W33" s="15"/>
    </row>
    <row r="34" spans="1:23" ht="12">
      <c r="A34" s="15">
        <v>32</v>
      </c>
      <c r="B34" s="34"/>
      <c r="C34" s="2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1"/>
      <c r="R34" s="32"/>
      <c r="S34" s="31"/>
      <c r="T34" s="32"/>
      <c r="U34" s="37"/>
      <c r="V34" s="27"/>
      <c r="W34" s="15"/>
    </row>
    <row r="35" spans="1:23" ht="12">
      <c r="A35" s="15">
        <v>33</v>
      </c>
      <c r="B35" s="34"/>
      <c r="C35" s="2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1"/>
      <c r="R35" s="32"/>
      <c r="S35" s="31"/>
      <c r="T35" s="32"/>
      <c r="U35" s="37"/>
      <c r="V35" s="27"/>
      <c r="W35" s="15"/>
    </row>
    <row r="36" spans="1:23" ht="12">
      <c r="A36" s="15">
        <v>34</v>
      </c>
      <c r="B36" s="28"/>
      <c r="C36" s="2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1"/>
      <c r="R36" s="32"/>
      <c r="S36" s="31"/>
      <c r="T36" s="32"/>
      <c r="U36" s="37"/>
      <c r="V36" s="27"/>
      <c r="W36" s="15"/>
    </row>
    <row r="37" spans="1:23" ht="12">
      <c r="A37" s="15">
        <v>35</v>
      </c>
      <c r="B37" s="34"/>
      <c r="C37" s="2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1"/>
      <c r="R37" s="32"/>
      <c r="S37" s="31"/>
      <c r="T37" s="32"/>
      <c r="U37" s="37"/>
      <c r="V37" s="27"/>
      <c r="W37" s="15"/>
    </row>
    <row r="38" spans="1:23" ht="12">
      <c r="A38" s="15">
        <v>36</v>
      </c>
      <c r="B38" s="34"/>
      <c r="C38" s="2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1"/>
      <c r="R38" s="32"/>
      <c r="S38" s="31"/>
      <c r="T38" s="32"/>
      <c r="U38" s="37"/>
      <c r="V38" s="27"/>
      <c r="W38" s="15"/>
    </row>
    <row r="39" spans="1:23" ht="12">
      <c r="A39" s="15">
        <v>37</v>
      </c>
      <c r="B39" s="34"/>
      <c r="C39" s="2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  <c r="R39" s="32"/>
      <c r="S39" s="31"/>
      <c r="T39" s="32"/>
      <c r="U39" s="37"/>
      <c r="V39" s="27"/>
      <c r="W39" s="15"/>
    </row>
    <row r="40" spans="1:23" ht="12">
      <c r="A40" s="15">
        <v>38</v>
      </c>
      <c r="B40" s="34"/>
      <c r="C40" s="2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1"/>
      <c r="R40" s="32"/>
      <c r="S40" s="31"/>
      <c r="T40" s="32"/>
      <c r="U40" s="37"/>
      <c r="V40" s="27"/>
      <c r="W40" s="15"/>
    </row>
    <row r="41" spans="1:23" ht="12">
      <c r="A41" s="15">
        <v>39</v>
      </c>
      <c r="B41" s="34"/>
      <c r="C41" s="2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1"/>
      <c r="R41" s="32"/>
      <c r="S41" s="31"/>
      <c r="T41" s="32"/>
      <c r="U41" s="37"/>
      <c r="V41" s="27"/>
      <c r="W41" s="15"/>
    </row>
    <row r="42" spans="1:23" ht="12">
      <c r="A42" s="38">
        <v>40</v>
      </c>
      <c r="B42" s="34"/>
      <c r="C42" s="2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9"/>
      <c r="V42" s="27"/>
      <c r="W42" s="15"/>
    </row>
    <row r="43" spans="1:23" ht="12">
      <c r="A43" s="40"/>
      <c r="B43" s="41"/>
      <c r="C43" s="42" t="s">
        <v>9</v>
      </c>
      <c r="D43" s="43" t="s">
        <v>10</v>
      </c>
      <c r="E43" s="43" t="s">
        <v>11</v>
      </c>
      <c r="F43" s="43" t="s">
        <v>12</v>
      </c>
      <c r="G43" s="44" t="s">
        <v>13</v>
      </c>
      <c r="H43" s="43" t="s">
        <v>14</v>
      </c>
      <c r="I43" s="43" t="s">
        <v>15</v>
      </c>
      <c r="J43" s="43" t="s">
        <v>16</v>
      </c>
      <c r="K43" s="43" t="s">
        <v>17</v>
      </c>
      <c r="L43" s="43" t="s">
        <v>18</v>
      </c>
      <c r="M43" s="43" t="s">
        <v>19</v>
      </c>
      <c r="N43" s="43" t="s">
        <v>20</v>
      </c>
      <c r="O43" s="43" t="s">
        <v>21</v>
      </c>
      <c r="P43" s="43" t="s">
        <v>22</v>
      </c>
      <c r="Q43" s="43" t="s">
        <v>23</v>
      </c>
      <c r="R43" s="43" t="s">
        <v>24</v>
      </c>
      <c r="S43" s="43" t="s">
        <v>25</v>
      </c>
      <c r="T43" s="43" t="s">
        <v>26</v>
      </c>
      <c r="U43" s="43" t="s">
        <v>27</v>
      </c>
      <c r="V43" s="45" t="s">
        <v>28</v>
      </c>
      <c r="W43" s="15"/>
    </row>
    <row r="44" spans="1:23" ht="12">
      <c r="A44" s="46"/>
      <c r="B44" s="47"/>
      <c r="C44" s="48"/>
      <c r="D44" s="49"/>
      <c r="E44" s="15"/>
      <c r="F44" s="15"/>
      <c r="G44" s="5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</sheetData>
  <mergeCells count="4">
    <mergeCell ref="C1:D1"/>
    <mergeCell ref="F1:H1"/>
    <mergeCell ref="J1:L1"/>
    <mergeCell ref="N1:R1"/>
  </mergeCells>
  <dataValidations count="7">
    <dataValidation type="list" showErrorMessage="1" sqref="V25:V42">
      <formula1>$Z$2:$Z$4</formula1>
      <formula2>0</formula2>
    </dataValidation>
    <dataValidation type="custom" allowBlank="1" showErrorMessage="1" errorTitle="Informacija" error="Pogresan simbol, mozete samo da upistete brojeve od 1-5 i slovo n." sqref="O3:O24 C25:P41 C42:U42">
      <formula1>OR(AND(O3&gt;0,O3&lt;6),O3="n")</formula1>
      <formula2>0</formula2>
    </dataValidation>
    <dataValidation type="custom" allowBlank="1" showErrorMessage="1" errorTitle="Informacija" error="Pogresan simbol, mozete samo da upisite brojeve od 1-5 i slovo n" sqref="C3:N24 P3:P24">
      <formula1>OR(AND(C3&gt;0,C3&lt;6),C3="n")</formula1>
      <formula2>0</formula2>
    </dataValidation>
    <dataValidation type="list" allowBlank="1" showErrorMessage="1" sqref="M1">
      <formula1>$Z$3:$Z$4</formula1>
      <formula2>0</formula2>
    </dataValidation>
    <dataValidation type="list" allowBlank="1" showErrorMessage="1" sqref="S1">
      <formula1>$Y$7:$Y$29</formula1>
      <formula2>0</formula2>
    </dataValidation>
    <dataValidation type="list" allowBlank="1" showErrorMessage="1" sqref="T1">
      <formula1>$Y$8:$Y$30</formula1>
      <formula2>0</formula2>
    </dataValidation>
    <dataValidation type="list" showErrorMessage="1" sqref="V3:V24">
      <formula1>$Y$2:$Y$4</formula1>
      <formula2>0</formula2>
    </dataValidation>
  </dataValidations>
  <hyperlinks>
    <hyperlink ref="W1" location="Pomoc!A1" display="?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4.28125" style="2" customWidth="1"/>
    <col min="2" max="2" width="22.7109375" style="2" customWidth="1"/>
    <col min="3" max="15" width="5.28125" style="2" customWidth="1"/>
    <col min="16" max="19" width="6.7109375" style="2" customWidth="1"/>
    <col min="20" max="21" width="5.7109375" style="2" customWidth="1"/>
    <col min="22" max="22" width="3.7109375" style="2" customWidth="1"/>
    <col min="23" max="23" width="3.8515625" style="2" customWidth="1"/>
    <col min="24" max="16384" width="9.00390625" style="2" customWidth="1"/>
  </cols>
  <sheetData>
    <row r="1" spans="1:23" ht="12">
      <c r="A1" s="4" t="s">
        <v>0</v>
      </c>
      <c r="B1" s="5"/>
      <c r="C1" s="6" t="s">
        <v>1</v>
      </c>
      <c r="D1" s="6"/>
      <c r="E1" s="7">
        <v>6</v>
      </c>
      <c r="F1" s="7" t="s">
        <v>2</v>
      </c>
      <c r="G1" s="7"/>
      <c r="H1" s="7"/>
      <c r="I1" s="7">
        <v>1</v>
      </c>
      <c r="J1" s="7" t="s">
        <v>208</v>
      </c>
      <c r="K1" s="7"/>
      <c r="L1" s="7"/>
      <c r="M1" s="8">
        <v>2</v>
      </c>
      <c r="N1" s="7" t="s">
        <v>209</v>
      </c>
      <c r="O1" s="7"/>
      <c r="P1" s="7"/>
      <c r="Q1" s="7"/>
      <c r="R1" s="7"/>
      <c r="S1" s="8" t="s">
        <v>45</v>
      </c>
      <c r="T1" s="8" t="s">
        <v>47</v>
      </c>
      <c r="U1" s="9"/>
      <c r="V1" s="10"/>
      <c r="W1" s="11" t="s">
        <v>7</v>
      </c>
    </row>
    <row r="2" spans="1:23" ht="12">
      <c r="A2" s="15"/>
      <c r="B2" s="16" t="s">
        <v>8</v>
      </c>
      <c r="C2" s="17" t="s">
        <v>9</v>
      </c>
      <c r="D2" s="18" t="s">
        <v>10</v>
      </c>
      <c r="E2" s="18" t="s">
        <v>11</v>
      </c>
      <c r="F2" s="18" t="s">
        <v>12</v>
      </c>
      <c r="G2" s="19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20" t="s">
        <v>28</v>
      </c>
      <c r="W2" s="15"/>
    </row>
    <row r="3" spans="1:23" ht="12">
      <c r="A3" s="15">
        <v>1</v>
      </c>
      <c r="B3" s="21" t="s">
        <v>29</v>
      </c>
      <c r="C3" s="22">
        <v>5</v>
      </c>
      <c r="D3" s="23">
        <v>5</v>
      </c>
      <c r="E3" s="23">
        <v>5</v>
      </c>
      <c r="F3" s="23">
        <v>5</v>
      </c>
      <c r="G3" s="23">
        <v>5</v>
      </c>
      <c r="H3" s="23">
        <v>5</v>
      </c>
      <c r="I3" s="23">
        <v>5</v>
      </c>
      <c r="J3" s="23">
        <v>5</v>
      </c>
      <c r="K3" s="23">
        <v>5</v>
      </c>
      <c r="L3" s="23"/>
      <c r="M3" s="23">
        <v>5</v>
      </c>
      <c r="N3" s="23">
        <v>5</v>
      </c>
      <c r="O3" s="23"/>
      <c r="P3" s="23">
        <v>5</v>
      </c>
      <c r="Q3" s="24">
        <v>0</v>
      </c>
      <c r="R3" s="25">
        <v>0</v>
      </c>
      <c r="S3" s="24">
        <v>5</v>
      </c>
      <c r="T3" s="25">
        <v>0</v>
      </c>
      <c r="U3" s="26">
        <v>5</v>
      </c>
      <c r="V3" s="27" t="s">
        <v>30</v>
      </c>
      <c r="W3" s="15"/>
    </row>
    <row r="4" spans="1:23" ht="12">
      <c r="A4" s="15">
        <v>2</v>
      </c>
      <c r="B4" s="28" t="s">
        <v>32</v>
      </c>
      <c r="C4" s="29">
        <v>2</v>
      </c>
      <c r="D4" s="30">
        <v>2</v>
      </c>
      <c r="E4" s="30">
        <v>4</v>
      </c>
      <c r="F4" s="30">
        <v>4</v>
      </c>
      <c r="G4" s="30">
        <v>2</v>
      </c>
      <c r="H4" s="30">
        <v>3</v>
      </c>
      <c r="I4" s="30">
        <v>2</v>
      </c>
      <c r="J4" s="30">
        <v>2</v>
      </c>
      <c r="K4" s="30">
        <v>3</v>
      </c>
      <c r="L4" s="30"/>
      <c r="M4" s="30">
        <v>5</v>
      </c>
      <c r="N4" s="30">
        <v>5</v>
      </c>
      <c r="O4" s="30"/>
      <c r="P4" s="30"/>
      <c r="Q4" s="31">
        <v>54</v>
      </c>
      <c r="R4" s="32">
        <v>3</v>
      </c>
      <c r="S4" s="31">
        <v>2</v>
      </c>
      <c r="T4" s="32">
        <v>1</v>
      </c>
      <c r="U4" s="33">
        <v>3</v>
      </c>
      <c r="V4" s="27" t="s">
        <v>31</v>
      </c>
      <c r="W4" s="15"/>
    </row>
    <row r="5" spans="1:23" ht="12">
      <c r="A5" s="15">
        <v>3</v>
      </c>
      <c r="B5" s="28" t="s">
        <v>33</v>
      </c>
      <c r="C5" s="29">
        <v>5</v>
      </c>
      <c r="D5" s="30">
        <v>4</v>
      </c>
      <c r="E5" s="30">
        <v>5</v>
      </c>
      <c r="F5" s="30">
        <v>5</v>
      </c>
      <c r="G5" s="30">
        <v>5</v>
      </c>
      <c r="H5" s="30">
        <v>5</v>
      </c>
      <c r="I5" s="30">
        <v>4</v>
      </c>
      <c r="J5" s="30">
        <v>4</v>
      </c>
      <c r="K5" s="30">
        <v>5</v>
      </c>
      <c r="L5" s="30"/>
      <c r="M5" s="30">
        <v>5</v>
      </c>
      <c r="N5" s="30">
        <v>5</v>
      </c>
      <c r="O5" s="30"/>
      <c r="P5" s="30">
        <v>4</v>
      </c>
      <c r="Q5" s="31">
        <v>65</v>
      </c>
      <c r="R5" s="32">
        <v>0</v>
      </c>
      <c r="S5" s="31">
        <v>77</v>
      </c>
      <c r="T5" s="32">
        <v>0</v>
      </c>
      <c r="U5" s="33">
        <v>5</v>
      </c>
      <c r="V5" s="27" t="s">
        <v>30</v>
      </c>
      <c r="W5" s="15"/>
    </row>
    <row r="6" spans="1:23" ht="12">
      <c r="A6" s="15">
        <v>4</v>
      </c>
      <c r="B6" s="34" t="s">
        <v>34</v>
      </c>
      <c r="C6" s="29">
        <v>5</v>
      </c>
      <c r="D6" s="30">
        <v>5</v>
      </c>
      <c r="E6" s="30">
        <v>5</v>
      </c>
      <c r="F6" s="30">
        <v>5</v>
      </c>
      <c r="G6" s="30">
        <v>5</v>
      </c>
      <c r="H6" s="30">
        <v>5</v>
      </c>
      <c r="I6" s="30">
        <v>5</v>
      </c>
      <c r="J6" s="30">
        <v>5</v>
      </c>
      <c r="K6" s="30">
        <v>5</v>
      </c>
      <c r="L6" s="30"/>
      <c r="M6" s="30">
        <v>5</v>
      </c>
      <c r="N6" s="30">
        <v>5</v>
      </c>
      <c r="O6" s="30"/>
      <c r="P6" s="30">
        <v>5</v>
      </c>
      <c r="Q6" s="31">
        <v>28</v>
      </c>
      <c r="R6" s="32">
        <v>0</v>
      </c>
      <c r="S6" s="31">
        <v>34</v>
      </c>
      <c r="T6" s="32">
        <v>0</v>
      </c>
      <c r="U6" s="33">
        <v>5</v>
      </c>
      <c r="V6" s="27" t="s">
        <v>30</v>
      </c>
      <c r="W6" s="15"/>
    </row>
    <row r="7" spans="1:23" ht="12">
      <c r="A7" s="15">
        <v>5</v>
      </c>
      <c r="B7" s="28" t="s">
        <v>35</v>
      </c>
      <c r="C7" s="29">
        <v>4</v>
      </c>
      <c r="D7" s="30">
        <v>5</v>
      </c>
      <c r="E7" s="30">
        <v>4</v>
      </c>
      <c r="F7" s="30">
        <v>5</v>
      </c>
      <c r="G7" s="30">
        <v>4</v>
      </c>
      <c r="H7" s="30">
        <v>5</v>
      </c>
      <c r="I7" s="30">
        <v>2</v>
      </c>
      <c r="J7" s="30">
        <v>3</v>
      </c>
      <c r="K7" s="30">
        <v>4</v>
      </c>
      <c r="L7" s="30"/>
      <c r="M7" s="30">
        <v>5</v>
      </c>
      <c r="N7" s="30">
        <v>5</v>
      </c>
      <c r="O7" s="30"/>
      <c r="P7" s="30">
        <v>4</v>
      </c>
      <c r="Q7" s="31">
        <v>52</v>
      </c>
      <c r="R7" s="32">
        <v>2</v>
      </c>
      <c r="S7" s="31">
        <v>0</v>
      </c>
      <c r="T7" s="32">
        <v>0</v>
      </c>
      <c r="U7" s="33">
        <v>5</v>
      </c>
      <c r="V7" s="27" t="s">
        <v>31</v>
      </c>
      <c r="W7" s="15"/>
    </row>
    <row r="8" spans="1:23" ht="12">
      <c r="A8" s="15">
        <v>6</v>
      </c>
      <c r="B8" s="34" t="s">
        <v>36</v>
      </c>
      <c r="C8" s="29">
        <v>2</v>
      </c>
      <c r="D8" s="30">
        <v>2</v>
      </c>
      <c r="E8" s="30">
        <v>4</v>
      </c>
      <c r="F8" s="30">
        <v>5</v>
      </c>
      <c r="G8" s="30">
        <v>2</v>
      </c>
      <c r="H8" s="30">
        <v>3</v>
      </c>
      <c r="I8" s="30">
        <v>2</v>
      </c>
      <c r="J8" s="30">
        <v>2</v>
      </c>
      <c r="K8" s="30">
        <v>4</v>
      </c>
      <c r="L8" s="30"/>
      <c r="M8" s="30">
        <v>5</v>
      </c>
      <c r="N8" s="30">
        <v>5</v>
      </c>
      <c r="O8" s="30"/>
      <c r="P8" s="30"/>
      <c r="Q8" s="31">
        <v>36</v>
      </c>
      <c r="R8" s="32">
        <v>1</v>
      </c>
      <c r="S8" s="31">
        <v>35</v>
      </c>
      <c r="T8" s="32">
        <v>2</v>
      </c>
      <c r="U8" s="33">
        <v>5</v>
      </c>
      <c r="V8" s="27" t="s">
        <v>31</v>
      </c>
      <c r="W8" s="15"/>
    </row>
    <row r="9" spans="1:23" ht="12">
      <c r="A9" s="15">
        <v>7</v>
      </c>
      <c r="B9" s="34" t="s">
        <v>38</v>
      </c>
      <c r="C9" s="29">
        <v>4</v>
      </c>
      <c r="D9" s="30">
        <v>4</v>
      </c>
      <c r="E9" s="30">
        <v>5</v>
      </c>
      <c r="F9" s="30">
        <v>5</v>
      </c>
      <c r="G9" s="30">
        <v>4</v>
      </c>
      <c r="H9" s="30">
        <v>5</v>
      </c>
      <c r="I9" s="30">
        <v>2</v>
      </c>
      <c r="J9" s="30">
        <v>2</v>
      </c>
      <c r="K9" s="30">
        <v>5</v>
      </c>
      <c r="L9" s="30"/>
      <c r="M9" s="30">
        <v>5</v>
      </c>
      <c r="N9" s="30">
        <v>5</v>
      </c>
      <c r="O9" s="30"/>
      <c r="P9" s="30">
        <v>4</v>
      </c>
      <c r="Q9" s="31">
        <v>19</v>
      </c>
      <c r="R9" s="32">
        <v>1</v>
      </c>
      <c r="S9" s="31">
        <v>57</v>
      </c>
      <c r="T9" s="32">
        <v>5</v>
      </c>
      <c r="U9" s="33">
        <v>5</v>
      </c>
      <c r="V9" s="27" t="s">
        <v>30</v>
      </c>
      <c r="W9" s="15"/>
    </row>
    <row r="10" spans="1:23" ht="12">
      <c r="A10" s="15">
        <v>8</v>
      </c>
      <c r="B10" s="34" t="s">
        <v>40</v>
      </c>
      <c r="C10" s="29">
        <v>5</v>
      </c>
      <c r="D10" s="30">
        <v>5</v>
      </c>
      <c r="E10" s="30">
        <v>5</v>
      </c>
      <c r="F10" s="30">
        <v>5</v>
      </c>
      <c r="G10" s="30">
        <v>5</v>
      </c>
      <c r="H10" s="30">
        <v>5</v>
      </c>
      <c r="I10" s="30">
        <v>5</v>
      </c>
      <c r="J10" s="30">
        <v>5</v>
      </c>
      <c r="K10" s="30">
        <v>5</v>
      </c>
      <c r="L10" s="30"/>
      <c r="M10" s="30">
        <v>5</v>
      </c>
      <c r="N10" s="30">
        <v>5</v>
      </c>
      <c r="O10" s="30"/>
      <c r="P10" s="30"/>
      <c r="Q10" s="31">
        <v>33</v>
      </c>
      <c r="R10" s="32">
        <v>0</v>
      </c>
      <c r="S10" s="31">
        <v>14</v>
      </c>
      <c r="T10" s="32">
        <v>0</v>
      </c>
      <c r="U10" s="33">
        <v>5</v>
      </c>
      <c r="V10" s="27" t="s">
        <v>30</v>
      </c>
      <c r="W10" s="15"/>
    </row>
    <row r="11" spans="1:23" ht="12">
      <c r="A11" s="15">
        <v>9</v>
      </c>
      <c r="B11" s="34" t="s">
        <v>42</v>
      </c>
      <c r="C11" s="29">
        <v>5</v>
      </c>
      <c r="D11" s="30">
        <v>5</v>
      </c>
      <c r="E11" s="30">
        <v>5</v>
      </c>
      <c r="F11" s="30">
        <v>5</v>
      </c>
      <c r="G11" s="30">
        <v>5</v>
      </c>
      <c r="H11" s="30">
        <v>5</v>
      </c>
      <c r="I11" s="30">
        <v>5</v>
      </c>
      <c r="J11" s="30">
        <v>5</v>
      </c>
      <c r="K11" s="30">
        <v>5</v>
      </c>
      <c r="L11" s="30"/>
      <c r="M11" s="30">
        <v>5</v>
      </c>
      <c r="N11" s="30">
        <v>5</v>
      </c>
      <c r="O11" s="30"/>
      <c r="P11" s="30">
        <v>5</v>
      </c>
      <c r="Q11" s="31">
        <v>37</v>
      </c>
      <c r="R11" s="32">
        <v>0</v>
      </c>
      <c r="S11" s="31">
        <v>42</v>
      </c>
      <c r="T11" s="32">
        <v>0</v>
      </c>
      <c r="U11" s="33">
        <v>5</v>
      </c>
      <c r="V11" s="27" t="s">
        <v>30</v>
      </c>
      <c r="W11" s="15"/>
    </row>
    <row r="12" spans="1:23" ht="12">
      <c r="A12" s="15">
        <v>10</v>
      </c>
      <c r="B12" s="34" t="s">
        <v>44</v>
      </c>
      <c r="C12" s="29">
        <v>4</v>
      </c>
      <c r="D12" s="30">
        <v>5</v>
      </c>
      <c r="E12" s="30">
        <v>5</v>
      </c>
      <c r="F12" s="30">
        <v>5</v>
      </c>
      <c r="G12" s="30">
        <v>5</v>
      </c>
      <c r="H12" s="30">
        <v>5</v>
      </c>
      <c r="I12" s="30">
        <v>4</v>
      </c>
      <c r="J12" s="30">
        <v>4</v>
      </c>
      <c r="K12" s="30">
        <v>5</v>
      </c>
      <c r="L12" s="30"/>
      <c r="M12" s="30">
        <v>5</v>
      </c>
      <c r="N12" s="30">
        <v>5</v>
      </c>
      <c r="O12" s="30"/>
      <c r="P12" s="30">
        <v>4</v>
      </c>
      <c r="Q12" s="31">
        <v>64</v>
      </c>
      <c r="R12" s="32">
        <v>0</v>
      </c>
      <c r="S12" s="31">
        <v>0</v>
      </c>
      <c r="T12" s="32">
        <v>0</v>
      </c>
      <c r="U12" s="33">
        <v>5</v>
      </c>
      <c r="V12" s="27" t="s">
        <v>31</v>
      </c>
      <c r="W12" s="15"/>
    </row>
    <row r="13" spans="1:23" ht="12">
      <c r="A13" s="15">
        <v>11</v>
      </c>
      <c r="B13" s="34" t="s">
        <v>46</v>
      </c>
      <c r="C13" s="29">
        <v>3</v>
      </c>
      <c r="D13" s="30">
        <v>3</v>
      </c>
      <c r="E13" s="30">
        <v>5</v>
      </c>
      <c r="F13" s="30">
        <v>5</v>
      </c>
      <c r="G13" s="30">
        <v>3</v>
      </c>
      <c r="H13" s="30">
        <v>5</v>
      </c>
      <c r="I13" s="30">
        <v>2</v>
      </c>
      <c r="J13" s="30">
        <v>2</v>
      </c>
      <c r="K13" s="30">
        <v>4</v>
      </c>
      <c r="L13" s="30"/>
      <c r="M13" s="30">
        <v>5</v>
      </c>
      <c r="N13" s="30">
        <v>5</v>
      </c>
      <c r="O13" s="30"/>
      <c r="P13" s="30"/>
      <c r="Q13" s="31">
        <v>50</v>
      </c>
      <c r="R13" s="32">
        <v>0</v>
      </c>
      <c r="S13" s="31">
        <v>2</v>
      </c>
      <c r="T13" s="32">
        <v>1</v>
      </c>
      <c r="U13" s="33">
        <v>5</v>
      </c>
      <c r="V13" s="27" t="s">
        <v>30</v>
      </c>
      <c r="W13" s="15"/>
    </row>
    <row r="14" spans="1:23" ht="12">
      <c r="A14" s="15">
        <v>12</v>
      </c>
      <c r="B14" s="34" t="s">
        <v>48</v>
      </c>
      <c r="C14" s="29">
        <v>5</v>
      </c>
      <c r="D14" s="30">
        <v>5</v>
      </c>
      <c r="E14" s="30">
        <v>5</v>
      </c>
      <c r="F14" s="30">
        <v>5</v>
      </c>
      <c r="G14" s="30">
        <v>5</v>
      </c>
      <c r="H14" s="30">
        <v>5</v>
      </c>
      <c r="I14" s="30">
        <v>5</v>
      </c>
      <c r="J14" s="30">
        <v>5</v>
      </c>
      <c r="K14" s="30">
        <v>5</v>
      </c>
      <c r="L14" s="30"/>
      <c r="M14" s="30">
        <v>5</v>
      </c>
      <c r="N14" s="30">
        <v>5</v>
      </c>
      <c r="O14" s="30"/>
      <c r="P14" s="30">
        <v>5</v>
      </c>
      <c r="Q14" s="31">
        <v>29</v>
      </c>
      <c r="R14" s="32">
        <v>0</v>
      </c>
      <c r="S14" s="31">
        <v>44</v>
      </c>
      <c r="T14" s="32">
        <v>0</v>
      </c>
      <c r="U14" s="33">
        <v>5</v>
      </c>
      <c r="V14" s="27" t="s">
        <v>30</v>
      </c>
      <c r="W14" s="15"/>
    </row>
    <row r="15" spans="1:23" ht="12">
      <c r="A15" s="15">
        <v>13</v>
      </c>
      <c r="B15" s="34" t="s">
        <v>49</v>
      </c>
      <c r="C15" s="29">
        <v>4</v>
      </c>
      <c r="D15" s="30">
        <v>4</v>
      </c>
      <c r="E15" s="30">
        <v>5</v>
      </c>
      <c r="F15" s="30">
        <v>5</v>
      </c>
      <c r="G15" s="30">
        <v>5</v>
      </c>
      <c r="H15" s="30">
        <v>5</v>
      </c>
      <c r="I15" s="30">
        <v>4</v>
      </c>
      <c r="J15" s="30">
        <v>3</v>
      </c>
      <c r="K15" s="30">
        <v>5</v>
      </c>
      <c r="L15" s="30"/>
      <c r="M15" s="30">
        <v>5</v>
      </c>
      <c r="N15" s="30">
        <v>5</v>
      </c>
      <c r="O15" s="30"/>
      <c r="P15" s="30"/>
      <c r="Q15" s="31">
        <v>52</v>
      </c>
      <c r="R15" s="32">
        <v>0</v>
      </c>
      <c r="S15" s="31">
        <v>27</v>
      </c>
      <c r="T15" s="32">
        <v>0</v>
      </c>
      <c r="U15" s="33">
        <v>5</v>
      </c>
      <c r="V15" s="27" t="s">
        <v>31</v>
      </c>
      <c r="W15" s="15"/>
    </row>
    <row r="16" spans="1:23" ht="12">
      <c r="A16" s="15">
        <v>14</v>
      </c>
      <c r="B16" s="28" t="s">
        <v>50</v>
      </c>
      <c r="C16" s="29">
        <v>5</v>
      </c>
      <c r="D16" s="30">
        <v>5</v>
      </c>
      <c r="E16" s="30">
        <v>5</v>
      </c>
      <c r="F16" s="30">
        <v>5</v>
      </c>
      <c r="G16" s="30">
        <v>5</v>
      </c>
      <c r="H16" s="30">
        <v>5</v>
      </c>
      <c r="I16" s="30">
        <v>4</v>
      </c>
      <c r="J16" s="30">
        <v>4</v>
      </c>
      <c r="K16" s="30">
        <v>5</v>
      </c>
      <c r="L16" s="30"/>
      <c r="M16" s="30">
        <v>5</v>
      </c>
      <c r="N16" s="30">
        <v>5</v>
      </c>
      <c r="O16" s="30"/>
      <c r="P16" s="30"/>
      <c r="Q16" s="31">
        <v>46</v>
      </c>
      <c r="R16" s="32">
        <v>0</v>
      </c>
      <c r="S16" s="31">
        <v>19</v>
      </c>
      <c r="T16" s="32">
        <v>0</v>
      </c>
      <c r="U16" s="33">
        <v>5</v>
      </c>
      <c r="V16" s="27" t="s">
        <v>30</v>
      </c>
      <c r="W16" s="15"/>
    </row>
    <row r="17" spans="1:23" ht="12">
      <c r="A17" s="15">
        <v>15</v>
      </c>
      <c r="B17" s="34" t="s">
        <v>52</v>
      </c>
      <c r="C17" s="29">
        <v>2</v>
      </c>
      <c r="D17" s="30">
        <v>4</v>
      </c>
      <c r="E17" s="30">
        <v>4</v>
      </c>
      <c r="F17" s="30">
        <v>2</v>
      </c>
      <c r="G17" s="30">
        <v>3</v>
      </c>
      <c r="H17" s="30">
        <v>2</v>
      </c>
      <c r="I17" s="30">
        <v>2</v>
      </c>
      <c r="J17" s="30">
        <v>2</v>
      </c>
      <c r="K17" s="30">
        <v>4</v>
      </c>
      <c r="L17" s="30"/>
      <c r="M17" s="30">
        <v>5</v>
      </c>
      <c r="N17" s="30">
        <v>5</v>
      </c>
      <c r="O17" s="30"/>
      <c r="P17" s="30"/>
      <c r="Q17" s="31">
        <v>51</v>
      </c>
      <c r="R17" s="32">
        <v>3</v>
      </c>
      <c r="S17" s="31">
        <v>30</v>
      </c>
      <c r="T17" s="32">
        <v>2</v>
      </c>
      <c r="U17" s="33">
        <v>3</v>
      </c>
      <c r="V17" s="27" t="s">
        <v>31</v>
      </c>
      <c r="W17" s="15"/>
    </row>
    <row r="18" spans="1:23" ht="12">
      <c r="A18" s="15">
        <v>16</v>
      </c>
      <c r="B18" s="34" t="s">
        <v>54</v>
      </c>
      <c r="C18" s="29">
        <v>5</v>
      </c>
      <c r="D18" s="30">
        <v>5</v>
      </c>
      <c r="E18" s="30">
        <v>5</v>
      </c>
      <c r="F18" s="30">
        <v>5</v>
      </c>
      <c r="G18" s="30">
        <v>5</v>
      </c>
      <c r="H18" s="30">
        <v>5</v>
      </c>
      <c r="I18" s="30">
        <v>5</v>
      </c>
      <c r="J18" s="30">
        <v>5</v>
      </c>
      <c r="K18" s="30">
        <v>5</v>
      </c>
      <c r="L18" s="30"/>
      <c r="M18" s="30">
        <v>5</v>
      </c>
      <c r="N18" s="30">
        <v>5</v>
      </c>
      <c r="O18" s="30"/>
      <c r="P18" s="30">
        <v>5</v>
      </c>
      <c r="Q18" s="31">
        <v>92</v>
      </c>
      <c r="R18" s="32">
        <v>0</v>
      </c>
      <c r="S18" s="31">
        <v>13</v>
      </c>
      <c r="T18" s="32">
        <v>0</v>
      </c>
      <c r="U18" s="33">
        <v>5</v>
      </c>
      <c r="V18" s="27" t="s">
        <v>30</v>
      </c>
      <c r="W18" s="15"/>
    </row>
    <row r="19" spans="1:23" ht="12">
      <c r="A19" s="15">
        <v>17</v>
      </c>
      <c r="B19" s="34" t="s">
        <v>56</v>
      </c>
      <c r="C19" s="29">
        <v>4</v>
      </c>
      <c r="D19" s="30">
        <v>5</v>
      </c>
      <c r="E19" s="30">
        <v>5</v>
      </c>
      <c r="F19" s="30">
        <v>5</v>
      </c>
      <c r="G19" s="30">
        <v>4</v>
      </c>
      <c r="H19" s="30">
        <v>5</v>
      </c>
      <c r="I19" s="30">
        <v>3</v>
      </c>
      <c r="J19" s="30">
        <v>4</v>
      </c>
      <c r="K19" s="30">
        <v>5</v>
      </c>
      <c r="L19" s="30"/>
      <c r="M19" s="30">
        <v>5</v>
      </c>
      <c r="N19" s="30">
        <v>5</v>
      </c>
      <c r="O19" s="30"/>
      <c r="P19" s="30"/>
      <c r="Q19" s="31">
        <v>25</v>
      </c>
      <c r="R19" s="32">
        <v>0</v>
      </c>
      <c r="S19" s="31">
        <v>26</v>
      </c>
      <c r="T19" s="32">
        <v>0</v>
      </c>
      <c r="U19" s="33">
        <v>5</v>
      </c>
      <c r="V19" s="27" t="s">
        <v>31</v>
      </c>
      <c r="W19" s="15"/>
    </row>
    <row r="20" spans="1:23" ht="12">
      <c r="A20" s="15">
        <v>18</v>
      </c>
      <c r="B20" s="34" t="s">
        <v>58</v>
      </c>
      <c r="C20" s="29">
        <v>5</v>
      </c>
      <c r="D20" s="30">
        <v>5</v>
      </c>
      <c r="E20" s="30">
        <v>5</v>
      </c>
      <c r="F20" s="30">
        <v>5</v>
      </c>
      <c r="G20" s="30">
        <v>5</v>
      </c>
      <c r="H20" s="30">
        <v>5</v>
      </c>
      <c r="I20" s="30">
        <v>5</v>
      </c>
      <c r="J20" s="30">
        <v>5</v>
      </c>
      <c r="K20" s="30">
        <v>5</v>
      </c>
      <c r="L20" s="30"/>
      <c r="M20" s="30">
        <v>5</v>
      </c>
      <c r="N20" s="30">
        <v>5</v>
      </c>
      <c r="O20" s="30"/>
      <c r="P20" s="30">
        <v>5</v>
      </c>
      <c r="Q20" s="31">
        <v>46</v>
      </c>
      <c r="R20" s="32">
        <v>0</v>
      </c>
      <c r="S20" s="31">
        <v>14</v>
      </c>
      <c r="T20" s="32">
        <v>0</v>
      </c>
      <c r="U20" s="33">
        <v>5</v>
      </c>
      <c r="V20" s="27" t="s">
        <v>30</v>
      </c>
      <c r="W20" s="15"/>
    </row>
    <row r="21" spans="1:23" ht="12">
      <c r="A21" s="15">
        <v>19</v>
      </c>
      <c r="B21" s="34" t="s">
        <v>60</v>
      </c>
      <c r="C21" s="29">
        <v>2</v>
      </c>
      <c r="D21" s="30">
        <v>2</v>
      </c>
      <c r="E21" s="30">
        <v>4</v>
      </c>
      <c r="F21" s="30">
        <v>4</v>
      </c>
      <c r="G21" s="30">
        <v>3</v>
      </c>
      <c r="H21" s="30">
        <v>3</v>
      </c>
      <c r="I21" s="30">
        <v>2</v>
      </c>
      <c r="J21" s="30">
        <v>2</v>
      </c>
      <c r="K21" s="30">
        <v>3</v>
      </c>
      <c r="L21" s="30"/>
      <c r="M21" s="30">
        <v>5</v>
      </c>
      <c r="N21" s="30">
        <v>5</v>
      </c>
      <c r="O21" s="30"/>
      <c r="P21" s="30"/>
      <c r="Q21" s="31">
        <v>17</v>
      </c>
      <c r="R21" s="32">
        <v>0</v>
      </c>
      <c r="S21" s="31">
        <v>42</v>
      </c>
      <c r="T21" s="32">
        <v>2</v>
      </c>
      <c r="U21" s="33">
        <v>5</v>
      </c>
      <c r="V21" s="27" t="s">
        <v>31</v>
      </c>
      <c r="W21" s="15"/>
    </row>
    <row r="22" spans="1:23" ht="12">
      <c r="A22" s="15">
        <v>20</v>
      </c>
      <c r="B22" s="34" t="s">
        <v>62</v>
      </c>
      <c r="C22" s="29">
        <v>3</v>
      </c>
      <c r="D22" s="30">
        <v>2</v>
      </c>
      <c r="E22" s="30">
        <v>5</v>
      </c>
      <c r="F22" s="30">
        <v>5</v>
      </c>
      <c r="G22" s="30">
        <v>3</v>
      </c>
      <c r="H22" s="30">
        <v>4</v>
      </c>
      <c r="I22" s="30">
        <v>2</v>
      </c>
      <c r="J22" s="30">
        <v>3</v>
      </c>
      <c r="K22" s="30">
        <v>4</v>
      </c>
      <c r="L22" s="30"/>
      <c r="M22" s="30">
        <v>5</v>
      </c>
      <c r="N22" s="30">
        <v>4</v>
      </c>
      <c r="O22" s="30"/>
      <c r="P22" s="30"/>
      <c r="Q22" s="31">
        <v>43</v>
      </c>
      <c r="R22" s="32">
        <v>0</v>
      </c>
      <c r="S22" s="31">
        <v>14</v>
      </c>
      <c r="T22" s="32">
        <v>2</v>
      </c>
      <c r="U22" s="33">
        <v>5</v>
      </c>
      <c r="V22" s="27" t="s">
        <v>31</v>
      </c>
      <c r="W22" s="15"/>
    </row>
    <row r="23" spans="1:23" ht="12">
      <c r="A23" s="15">
        <v>21</v>
      </c>
      <c r="B23" s="34" t="s">
        <v>64</v>
      </c>
      <c r="C23" s="29">
        <v>2</v>
      </c>
      <c r="D23" s="30">
        <v>2</v>
      </c>
      <c r="E23" s="30">
        <v>5</v>
      </c>
      <c r="F23" s="30">
        <v>4</v>
      </c>
      <c r="G23" s="30">
        <v>2</v>
      </c>
      <c r="H23" s="30">
        <v>4</v>
      </c>
      <c r="I23" s="30">
        <v>2</v>
      </c>
      <c r="J23" s="30">
        <v>2</v>
      </c>
      <c r="K23" s="30">
        <v>4</v>
      </c>
      <c r="L23" s="30"/>
      <c r="M23" s="30">
        <v>5</v>
      </c>
      <c r="N23" s="30">
        <v>4</v>
      </c>
      <c r="O23" s="30"/>
      <c r="P23" s="30"/>
      <c r="Q23" s="31">
        <v>4</v>
      </c>
      <c r="R23" s="32">
        <v>0</v>
      </c>
      <c r="S23" s="31">
        <v>2</v>
      </c>
      <c r="T23" s="32">
        <v>0</v>
      </c>
      <c r="U23" s="33">
        <v>5</v>
      </c>
      <c r="V23" s="27" t="s">
        <v>30</v>
      </c>
      <c r="W23" s="15"/>
    </row>
    <row r="24" spans="1:23" ht="12">
      <c r="A24" s="15">
        <v>22</v>
      </c>
      <c r="B24" s="34" t="s">
        <v>207</v>
      </c>
      <c r="C24" s="29">
        <v>5</v>
      </c>
      <c r="D24" s="30">
        <v>5</v>
      </c>
      <c r="E24" s="30">
        <v>5</v>
      </c>
      <c r="F24" s="30">
        <v>5</v>
      </c>
      <c r="G24" s="30">
        <v>5</v>
      </c>
      <c r="H24" s="30">
        <v>5</v>
      </c>
      <c r="I24" s="30">
        <v>5</v>
      </c>
      <c r="J24" s="30">
        <v>5</v>
      </c>
      <c r="K24" s="30">
        <v>5</v>
      </c>
      <c r="L24" s="30"/>
      <c r="M24" s="30">
        <v>5</v>
      </c>
      <c r="N24" s="30">
        <v>5</v>
      </c>
      <c r="O24" s="30"/>
      <c r="P24" s="30">
        <v>5</v>
      </c>
      <c r="Q24" s="31">
        <v>31</v>
      </c>
      <c r="R24" s="32">
        <v>0</v>
      </c>
      <c r="S24" s="31">
        <v>58</v>
      </c>
      <c r="T24" s="32">
        <v>0</v>
      </c>
      <c r="U24" s="33">
        <v>5</v>
      </c>
      <c r="V24" s="27" t="s">
        <v>30</v>
      </c>
      <c r="W24" s="15"/>
    </row>
    <row r="25" spans="1:23" ht="12">
      <c r="A25" s="15">
        <v>23</v>
      </c>
      <c r="B25" s="34"/>
      <c r="C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1"/>
      <c r="R25" s="32"/>
      <c r="S25" s="31"/>
      <c r="T25" s="32"/>
      <c r="U25" s="37"/>
      <c r="V25" s="27"/>
      <c r="W25" s="15"/>
    </row>
    <row r="26" spans="1:23" ht="12">
      <c r="A26" s="15">
        <v>24</v>
      </c>
      <c r="B26" s="34"/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2"/>
      <c r="S26" s="31"/>
      <c r="T26" s="32"/>
      <c r="U26" s="37"/>
      <c r="V26" s="27"/>
      <c r="W26" s="15"/>
    </row>
    <row r="27" spans="1:23" ht="12">
      <c r="A27" s="15">
        <v>25</v>
      </c>
      <c r="B27" s="28"/>
      <c r="C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1"/>
      <c r="R27" s="32"/>
      <c r="S27" s="31"/>
      <c r="T27" s="32"/>
      <c r="U27" s="37"/>
      <c r="V27" s="27"/>
      <c r="W27" s="15"/>
    </row>
    <row r="28" spans="1:23" ht="12">
      <c r="A28" s="15">
        <v>26</v>
      </c>
      <c r="B28" s="34"/>
      <c r="C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1"/>
      <c r="R28" s="32"/>
      <c r="S28" s="31"/>
      <c r="T28" s="32"/>
      <c r="U28" s="37"/>
      <c r="V28" s="27"/>
      <c r="W28" s="15"/>
    </row>
    <row r="29" spans="1:23" ht="12">
      <c r="A29" s="15">
        <v>27</v>
      </c>
      <c r="B29" s="34"/>
      <c r="C29" s="2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1"/>
      <c r="R29" s="32"/>
      <c r="S29" s="31"/>
      <c r="T29" s="32"/>
      <c r="U29" s="37"/>
      <c r="V29" s="27"/>
      <c r="W29" s="15"/>
    </row>
    <row r="30" spans="1:23" ht="12">
      <c r="A30" s="15">
        <v>28</v>
      </c>
      <c r="B30" s="34"/>
      <c r="C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/>
      <c r="R30" s="32"/>
      <c r="S30" s="31"/>
      <c r="T30" s="32"/>
      <c r="U30" s="37"/>
      <c r="V30" s="27"/>
      <c r="W30" s="15"/>
    </row>
    <row r="31" spans="1:23" ht="12">
      <c r="A31" s="15">
        <v>29</v>
      </c>
      <c r="B31" s="34"/>
      <c r="C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1"/>
      <c r="R31" s="32"/>
      <c r="S31" s="31"/>
      <c r="T31" s="32"/>
      <c r="U31" s="37"/>
      <c r="V31" s="27"/>
      <c r="W31" s="15"/>
    </row>
    <row r="32" spans="1:23" ht="12">
      <c r="A32" s="15">
        <v>30</v>
      </c>
      <c r="B32" s="28"/>
      <c r="C32" s="2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1"/>
      <c r="R32" s="32"/>
      <c r="S32" s="31"/>
      <c r="T32" s="32"/>
      <c r="U32" s="37"/>
      <c r="V32" s="27"/>
      <c r="W32" s="15"/>
    </row>
    <row r="33" spans="1:23" ht="12">
      <c r="A33" s="15">
        <v>31</v>
      </c>
      <c r="B33" s="34"/>
      <c r="C33" s="2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1"/>
      <c r="R33" s="32"/>
      <c r="S33" s="31"/>
      <c r="T33" s="32"/>
      <c r="U33" s="37"/>
      <c r="V33" s="27"/>
      <c r="W33" s="15"/>
    </row>
    <row r="34" spans="1:23" ht="12">
      <c r="A34" s="15">
        <v>32</v>
      </c>
      <c r="B34" s="34"/>
      <c r="C34" s="2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1"/>
      <c r="R34" s="32"/>
      <c r="S34" s="31"/>
      <c r="T34" s="32"/>
      <c r="U34" s="37"/>
      <c r="V34" s="27"/>
      <c r="W34" s="15"/>
    </row>
    <row r="35" spans="1:23" ht="12">
      <c r="A35" s="15">
        <v>33</v>
      </c>
      <c r="B35" s="34"/>
      <c r="C35" s="2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1"/>
      <c r="R35" s="32"/>
      <c r="S35" s="31"/>
      <c r="T35" s="32"/>
      <c r="U35" s="37"/>
      <c r="V35" s="27"/>
      <c r="W35" s="15"/>
    </row>
    <row r="36" spans="1:23" ht="12">
      <c r="A36" s="15">
        <v>34</v>
      </c>
      <c r="B36" s="28"/>
      <c r="C36" s="2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1"/>
      <c r="R36" s="32"/>
      <c r="S36" s="31"/>
      <c r="T36" s="32"/>
      <c r="U36" s="37"/>
      <c r="V36" s="27"/>
      <c r="W36" s="15"/>
    </row>
    <row r="37" spans="1:23" ht="12">
      <c r="A37" s="15">
        <v>35</v>
      </c>
      <c r="B37" s="34"/>
      <c r="C37" s="2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1"/>
      <c r="R37" s="32"/>
      <c r="S37" s="31"/>
      <c r="T37" s="32"/>
      <c r="U37" s="37"/>
      <c r="V37" s="27"/>
      <c r="W37" s="15"/>
    </row>
    <row r="38" spans="1:23" ht="12">
      <c r="A38" s="15">
        <v>36</v>
      </c>
      <c r="B38" s="34"/>
      <c r="C38" s="2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1"/>
      <c r="R38" s="32"/>
      <c r="S38" s="31"/>
      <c r="T38" s="32"/>
      <c r="U38" s="37"/>
      <c r="V38" s="27"/>
      <c r="W38" s="15"/>
    </row>
    <row r="39" spans="1:23" ht="12">
      <c r="A39" s="15">
        <v>37</v>
      </c>
      <c r="B39" s="34"/>
      <c r="C39" s="2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1"/>
      <c r="R39" s="32"/>
      <c r="S39" s="31"/>
      <c r="T39" s="32"/>
      <c r="U39" s="37"/>
      <c r="V39" s="27"/>
      <c r="W39" s="15"/>
    </row>
    <row r="40" spans="1:23" ht="12">
      <c r="A40" s="15">
        <v>38</v>
      </c>
      <c r="B40" s="34"/>
      <c r="C40" s="2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1"/>
      <c r="R40" s="32"/>
      <c r="S40" s="31"/>
      <c r="T40" s="32"/>
      <c r="U40" s="37"/>
      <c r="V40" s="27"/>
      <c r="W40" s="15"/>
    </row>
    <row r="41" spans="1:23" ht="12">
      <c r="A41" s="15">
        <v>39</v>
      </c>
      <c r="B41" s="34"/>
      <c r="C41" s="2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1"/>
      <c r="R41" s="32"/>
      <c r="S41" s="31"/>
      <c r="T41" s="32"/>
      <c r="U41" s="37"/>
      <c r="V41" s="27"/>
      <c r="W41" s="15"/>
    </row>
    <row r="42" spans="1:23" ht="12">
      <c r="A42" s="38">
        <v>40</v>
      </c>
      <c r="B42" s="34"/>
      <c r="C42" s="2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9"/>
      <c r="V42" s="304"/>
      <c r="W42" s="15"/>
    </row>
    <row r="43" spans="1:23" ht="12">
      <c r="A43" s="40"/>
      <c r="B43" s="41"/>
      <c r="C43" s="42" t="s">
        <v>9</v>
      </c>
      <c r="D43" s="43" t="s">
        <v>10</v>
      </c>
      <c r="E43" s="43" t="s">
        <v>11</v>
      </c>
      <c r="F43" s="43" t="s">
        <v>12</v>
      </c>
      <c r="G43" s="44" t="s">
        <v>13</v>
      </c>
      <c r="H43" s="43" t="s">
        <v>14</v>
      </c>
      <c r="I43" s="43" t="s">
        <v>15</v>
      </c>
      <c r="J43" s="43" t="s">
        <v>16</v>
      </c>
      <c r="K43" s="43" t="s">
        <v>17</v>
      </c>
      <c r="L43" s="43" t="s">
        <v>18</v>
      </c>
      <c r="M43" s="43" t="s">
        <v>19</v>
      </c>
      <c r="N43" s="43" t="s">
        <v>20</v>
      </c>
      <c r="O43" s="43" t="s">
        <v>21</v>
      </c>
      <c r="P43" s="43" t="s">
        <v>22</v>
      </c>
      <c r="Q43" s="43" t="s">
        <v>23</v>
      </c>
      <c r="R43" s="43" t="s">
        <v>24</v>
      </c>
      <c r="S43" s="43" t="s">
        <v>25</v>
      </c>
      <c r="T43" s="43" t="s">
        <v>26</v>
      </c>
      <c r="U43" s="43" t="s">
        <v>27</v>
      </c>
      <c r="V43" s="45" t="s">
        <v>28</v>
      </c>
      <c r="W43" s="15"/>
    </row>
    <row r="44" spans="1:23" ht="12">
      <c r="A44" s="46"/>
      <c r="B44" s="47"/>
      <c r="C44" s="48"/>
      <c r="D44" s="49"/>
      <c r="E44" s="15"/>
      <c r="F44" s="15"/>
      <c r="G44" s="50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</sheetData>
  <mergeCells count="4">
    <mergeCell ref="C1:D1"/>
    <mergeCell ref="F1:H1"/>
    <mergeCell ref="J1:L1"/>
    <mergeCell ref="N1:R1"/>
  </mergeCells>
  <dataValidations count="6">
    <dataValidation type="custom" allowBlank="1" showErrorMessage="1" errorTitle="Informacija" error="Pogresan simbol, mozete samo da upistete brojeve od 1-5 i slovo n." sqref="C3:P41 C42:U42">
      <formula1>OR(AND(C3&gt;0,C3&lt;6),C3="n")</formula1>
      <formula2>0</formula2>
    </dataValidation>
    <dataValidation type="list" allowBlank="1" showErrorMessage="1" sqref="T1">
      <formula1>#REF!</formula1>
      <formula2>0</formula2>
    </dataValidation>
    <dataValidation type="list" allowBlank="1" showErrorMessage="1" sqref="S1">
      <formula1>#REF!</formula1>
      <formula2>0</formula2>
    </dataValidation>
    <dataValidation type="list" allowBlank="1" showErrorMessage="1" sqref="M1">
      <formula1>#REF!</formula1>
      <formula2>0</formula2>
    </dataValidation>
    <dataValidation type="list" showErrorMessage="1" sqref="V25:V42">
      <formula1>#REF!</formula1>
      <formula2>0</formula2>
    </dataValidation>
    <dataValidation type="list" showErrorMessage="1" sqref="V3:V24">
      <formula1>$Z$2:$Z$4</formula1>
      <formula2>0</formula2>
    </dataValidation>
  </dataValidations>
  <hyperlinks>
    <hyperlink ref="W1" location="Pomoc!A1" display="?"/>
  </hyperlink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Skolski Dnevnik</dc:title>
  <dc:subject>Za razredne staresine</dc:subject>
  <dc:creator>Aleksandar Angelovski</dc:creator>
  <cp:keywords/>
  <dc:description/>
  <cp:lastModifiedBy>root</cp:lastModifiedBy>
  <cp:lastPrinted>2007-01-09T17:16:42Z</cp:lastPrinted>
  <dcterms:created xsi:type="dcterms:W3CDTF">1997-09-23T17:53:24Z</dcterms:created>
  <dcterms:modified xsi:type="dcterms:W3CDTF">2009-02-11T14:17:29Z</dcterms:modified>
  <cp:category/>
  <cp:version/>
  <cp:contentType/>
  <cp:contentStatus/>
  <cp:revision>3</cp:revision>
</cp:coreProperties>
</file>