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40" windowHeight="8580" activeTab="1"/>
  </bookViews>
  <sheets>
    <sheet name="Prorc_alternatora" sheetId="1" r:id="rId1"/>
    <sheet name="Mernje" sheetId="2" r:id="rId2"/>
    <sheet name="Proracun zastite" sheetId="3" r:id="rId3"/>
    <sheet name="Lenz_rotor" sheetId="4" r:id="rId4"/>
    <sheet name="Kalkulator za krila" sheetId="5" r:id="rId5"/>
    <sheet name="Proracun krila" sheetId="6" r:id="rId6"/>
  </sheets>
  <definedNames>
    <definedName name="_xlnm.Print_Area" localSheetId="3">'Lenz_rotor'!$A$1:$I$78</definedName>
    <definedName name="_xlnm.Print_Area" localSheetId="5">'Proracun krila'!$A$1:$C$52</definedName>
  </definedNames>
  <calcPr fullCalcOnLoad="1"/>
</workbook>
</file>

<file path=xl/sharedStrings.xml><?xml version="1.0" encoding="utf-8"?>
<sst xmlns="http://schemas.openxmlformats.org/spreadsheetml/2006/main" count="165" uniqueCount="149">
  <si>
    <t>Projektovani napon [V]</t>
  </si>
  <si>
    <t>Broj polova [np]</t>
  </si>
  <si>
    <t>projektovani broj namotaja [n]</t>
  </si>
  <si>
    <t>radijus [r] u mm</t>
  </si>
  <si>
    <t>Linearna brzina [v] m/sec</t>
  </si>
  <si>
    <t>potreban broj namotaja po polu [n]</t>
  </si>
  <si>
    <t>ocekivani napon za odredjeni broj namotaja [V]</t>
  </si>
  <si>
    <t>Broj obrtaja [omega]</t>
  </si>
  <si>
    <t>B Indukcija [T]</t>
  </si>
  <si>
    <t>▼</t>
  </si>
  <si>
    <r>
      <t xml:space="preserve">UBACI PODATKE U ZUTA POLJA  </t>
    </r>
    <r>
      <rPr>
        <sz val="10"/>
        <rFont val="Arial"/>
        <family val="2"/>
      </rPr>
      <t>→</t>
    </r>
  </si>
  <si>
    <t>PRORACUN TROFAZNOG GENERATORA SA STALNIM MAGNETIMA</t>
  </si>
  <si>
    <t>potreban momenat da se ostvari struja [M]      [Nm]</t>
  </si>
  <si>
    <t>duzina provodnika u mm  [L]</t>
  </si>
  <si>
    <t>Struja punjenja akumulatora [A]</t>
  </si>
  <si>
    <t>RADIJUS ZAKRIVLJENJA  mm</t>
  </si>
  <si>
    <t>SIRINA KRILA    mm</t>
  </si>
  <si>
    <t>PRECNIK ROTORA     mm</t>
  </si>
  <si>
    <t>PRORACUN DIMENZIJE KRILA LENZ-OVOG ROTORA SA 3 KRILA</t>
  </si>
  <si>
    <t>DUZINA RAVNOG DELA OD CENTRA KRIVINE  mm</t>
  </si>
  <si>
    <t>visina rotora u odnosu na precnik 1.25 precnika mm</t>
  </si>
  <si>
    <t>ukupna sirina lima za opsivanje</t>
  </si>
  <si>
    <t>vati [W]</t>
  </si>
  <si>
    <t>Br.
Obrtaja</t>
  </si>
  <si>
    <t>Struja
[A]</t>
  </si>
  <si>
    <t>Napon 
[V]</t>
  </si>
  <si>
    <t>NEOPTERECEN</t>
  </si>
  <si>
    <t>OPTERECEN SA 1.7 Oma</t>
  </si>
  <si>
    <t>ALTERNATOR SA PERMANENTNIM MAGNETIMA NEODYMIJUM 12 POLOVA III FAZE ZICA 1.8mm 65 NAMOTAJA</t>
  </si>
  <si>
    <t>MAGNETNI FLUX</t>
  </si>
  <si>
    <t>MAGNET U VAZDUHU</t>
  </si>
  <si>
    <t>0.3 T</t>
  </si>
  <si>
    <t>U PROCEPU SKLOPLJENOG ALTERNATORA</t>
  </si>
  <si>
    <t>0.65 T</t>
  </si>
  <si>
    <t>MERENJA SU IZVRSENA NA ISPITNOM STOLU.POGONSKI MOTOR DC-400W SA REDUKTOROM [160o/MAX]</t>
  </si>
  <si>
    <t>&lt;- POVECANO OPTERECENJE</t>
  </si>
  <si>
    <t>P = .5 * AD * (D^2*.7854) * V^3</t>
  </si>
  <si>
    <t>                    P = power in watts</t>
  </si>
  <si>
    <t>                    Cp = overall efficiency ( typically .15 to .20)</t>
  </si>
  <si>
    <t>                    rho = air density ( 1.22 at sea level )</t>
  </si>
  <si>
    <t>                    V = velocity of the wind in meters/second</t>
  </si>
  <si>
    <t>If you have a prop you plan to use, this one will determine the power output you can expect...</t>
  </si>
  <si>
    <t>To find the TSR ( tip speed ratio ) of a prop at a given output...</t>
  </si>
  <si>
    <t>   example:  say you find a generator that can produce 500 watts at 1000 rpm...</t>
  </si>
  <si>
    <t>Since 10.5 would be fairly tricky to obtain we can try others.  To calculate the rpm at a given TSR...</t>
  </si>
  <si>
    <t>   example:  with a tsr = 6 we would get...</t>
  </si>
  <si>
    <t>Snaga   [W] teoretski</t>
  </si>
  <si>
    <t>40% iskoristivost</t>
  </si>
  <si>
    <t>24% iskoristivost</t>
  </si>
  <si>
    <t>brzina vetra [m/sec]</t>
  </si>
  <si>
    <t>precnik rotora [M]</t>
  </si>
  <si>
    <t>D   Precnik rotora [M]</t>
  </si>
  <si>
    <t>V   Brzina vetra [M/sec]</t>
  </si>
  <si>
    <t>P   Snaga [W]</t>
  </si>
  <si>
    <t>D-Precnik rotora [M]</t>
  </si>
  <si>
    <t>V-Brzina vetra [M/sec]</t>
  </si>
  <si>
    <t>P-Snaga [W]</t>
  </si>
  <si>
    <t>Brzina obrtanja [o/min]</t>
  </si>
  <si>
    <t>Snaga alternatora [w]</t>
  </si>
  <si>
    <t>Tip speed ratio- TSR</t>
  </si>
  <si>
    <t>TSR</t>
  </si>
  <si>
    <t>Brzina vetra  [M/sec]</t>
  </si>
  <si>
    <t>Brzina obrt. alternatora [O/min]</t>
  </si>
  <si>
    <t>So we could say in a 20mph (8.9 m/s)
 wind and a 6 ft dia ( 1.8 m) prop there is ...</t>
  </si>
  <si>
    <t>Unfortunately we cant capture all of it and most blades range in the 
20% to 40% range so we need to add this into our formula...</t>
  </si>
  <si>
    <t xml:space="preserve">This is the majority of the losses but there are others that we won't worry to much about at this point.  
The formulas above will give you a close general idea of what your machine might produce.  </t>
  </si>
  <si>
    <r>
      <t xml:space="preserve">   </t>
    </r>
    <r>
      <rPr>
        <b/>
        <sz val="8"/>
        <color indexed="14"/>
        <rFont val="Arial"/>
        <family val="0"/>
      </rPr>
      <t>P = .5 * 1.22 * (1.8^2*.7854) * 8.9^3</t>
    </r>
    <r>
      <rPr>
        <b/>
        <sz val="8"/>
        <rFont val="Arial"/>
        <family val="0"/>
      </rPr>
      <t xml:space="preserve">   or</t>
    </r>
  </si>
  <si>
    <r>
      <t xml:space="preserve">    </t>
    </r>
    <r>
      <rPr>
        <b/>
        <sz val="8"/>
        <color indexed="14"/>
        <rFont val="Arial"/>
        <family val="0"/>
      </rPr>
      <t>P= 1094</t>
    </r>
    <r>
      <rPr>
        <b/>
        <sz val="8"/>
        <rFont val="Arial"/>
        <family val="0"/>
      </rPr>
      <t xml:space="preserve"> watts passing through the prop</t>
    </r>
  </si>
  <si>
    <r>
      <t xml:space="preserve">    </t>
    </r>
    <r>
      <rPr>
        <b/>
        <sz val="8"/>
        <color indexed="14"/>
        <rFont val="Arial"/>
        <family val="0"/>
      </rPr>
      <t>P = .5 * 1.22 * (1.8^2*.7854) * 8.9^3 * .4</t>
    </r>
  </si>
  <si>
    <r>
      <t xml:space="preserve">    P = 437 </t>
    </r>
    <r>
      <rPr>
        <b/>
        <sz val="8"/>
        <color indexed="8"/>
        <rFont val="Arial"/>
        <family val="0"/>
      </rPr>
      <t xml:space="preserve">watts coming out of our blade at the shaft.  </t>
    </r>
  </si>
  <si>
    <r>
      <t xml:space="preserve">Now there are some other losses we have to deal with...   
The generator or alternator we are using isn't 100% efficient so we need to add this into the formula.  
We can say that our blades are 40% efficient and our generator is 60% efficient so... 
Our overall efficiency would be ( </t>
    </r>
    <r>
      <rPr>
        <b/>
        <sz val="8"/>
        <color indexed="14"/>
        <rFont val="Arial"/>
        <family val="0"/>
      </rPr>
      <t xml:space="preserve">.4 * .6 = .24 </t>
    </r>
    <r>
      <rPr>
        <b/>
        <sz val="8"/>
        <color indexed="8"/>
        <rFont val="Arial"/>
        <family val="0"/>
      </rPr>
      <t>) 24%.  So now we add that into the total and we get...</t>
    </r>
  </si>
  <si>
    <r>
      <t xml:space="preserve">    </t>
    </r>
    <r>
      <rPr>
        <b/>
        <sz val="8"/>
        <color indexed="14"/>
        <rFont val="Arial"/>
        <family val="0"/>
      </rPr>
      <t>P = .5 * 1.22 * (1.8^2*.7854) * 8.9^3 * .24</t>
    </r>
  </si>
  <si>
    <r>
      <t xml:space="preserve">    P = 262 </t>
    </r>
    <r>
      <rPr>
        <b/>
        <sz val="8"/>
        <color indexed="8"/>
        <rFont val="Arial"/>
        <family val="0"/>
      </rPr>
      <t>watts</t>
    </r>
  </si>
  <si>
    <r>
      <t>I</t>
    </r>
    <r>
      <rPr>
        <b/>
        <u val="single"/>
        <sz val="8"/>
        <rFont val="Arial"/>
        <family val="0"/>
      </rPr>
      <t>f you know what your alternator/generator will do in watts, 
this one will help determine the size prop you will need to run it....</t>
    </r>
  </si>
  <si>
    <r>
      <t xml:space="preserve">    </t>
    </r>
    <r>
      <rPr>
        <b/>
        <sz val="8"/>
        <color indexed="14"/>
        <rFont val="Arial"/>
        <family val="0"/>
      </rPr>
      <t>D = (P / ( Cp * rho / 2 * Pi / 4 * V^3 )) ^ 0.5</t>
    </r>
  </si>
  <si>
    <r>
      <t xml:space="preserve">    </t>
    </r>
    <r>
      <rPr>
        <b/>
        <sz val="8"/>
        <color indexed="8"/>
        <rFont val="Arial"/>
        <family val="0"/>
      </rPr>
      <t>Where      D = Diameter of prop in meters</t>
    </r>
  </si>
  <si>
    <r>
      <t xml:space="preserve">    </t>
    </r>
    <r>
      <rPr>
        <b/>
        <sz val="8"/>
        <color indexed="14"/>
        <rFont val="Arial"/>
        <family val="0"/>
      </rPr>
      <t>P = Cp * rho / 2 * Pi /4 * D^2 * V^3</t>
    </r>
  </si>
  <si>
    <r>
      <t xml:space="preserve">    </t>
    </r>
    <r>
      <rPr>
        <b/>
        <sz val="8"/>
        <color indexed="14"/>
        <rFont val="Arial"/>
        <family val="0"/>
      </rPr>
      <t>TSR = rpm * Pi * D / 60 / V</t>
    </r>
  </si>
  <si>
    <r>
      <t xml:space="preserve">    </t>
    </r>
    <r>
      <rPr>
        <b/>
        <sz val="8"/>
        <color indexed="14"/>
        <rFont val="Arial"/>
        <family val="0"/>
      </rPr>
      <t>TSR = 1000 * 3.14 * 2 / 60 / 10</t>
    </r>
  </si>
  <si>
    <r>
      <t xml:space="preserve">   </t>
    </r>
    <r>
      <rPr>
        <b/>
        <sz val="8"/>
        <color indexed="14"/>
        <rFont val="Arial"/>
        <family val="0"/>
      </rPr>
      <t>TSR = 10.46</t>
    </r>
  </si>
  <si>
    <r>
      <t xml:space="preserve">    </t>
    </r>
    <r>
      <rPr>
        <b/>
        <sz val="8"/>
        <color indexed="14"/>
        <rFont val="Arial"/>
        <family val="0"/>
      </rPr>
      <t>rpm = 60 * V * tsr / ( Pi * D )</t>
    </r>
  </si>
  <si>
    <r>
      <t xml:space="preserve">    </t>
    </r>
    <r>
      <rPr>
        <b/>
        <sz val="8"/>
        <color indexed="14"/>
        <rFont val="Arial"/>
        <family val="0"/>
      </rPr>
      <t>rpm = 60 * 10 * 6 / ( Pi * 2)</t>
    </r>
  </si>
  <si>
    <r>
      <t xml:space="preserve">   </t>
    </r>
    <r>
      <rPr>
        <b/>
        <sz val="8"/>
        <color indexed="14"/>
        <rFont val="Arial"/>
        <family val="0"/>
      </rPr>
      <t>rpm = 573 rpm</t>
    </r>
  </si>
  <si>
    <t>IZRACUNAVANJE SNAGE U ODNOSU
 NA PRECNIK ROTORA I BRZINE VETRA</t>
  </si>
  <si>
    <t>IZRACUNAVANJE TSR U ODNOSU 
BRZINE OBRTANJA I SNAGE ALTERNATORA</t>
  </si>
  <si>
    <t>IZRACUNAVANJE BR.OBRT.ALTERNATORA
 U ODNOSU BRZINE VETRA I TSR</t>
  </si>
  <si>
    <t>Precnik krila [m]</t>
  </si>
  <si>
    <t>precnik turbine [M]</t>
  </si>
  <si>
    <t>offset [M]</t>
  </si>
  <si>
    <t>tezina repa [Kg]</t>
  </si>
  <si>
    <t>duzina repa [M]</t>
  </si>
  <si>
    <t>brzina vetra [M/sec]</t>
  </si>
  <si>
    <t>raspadanje turbine [Kg]</t>
  </si>
  <si>
    <t>momenat turbine [KgM]</t>
  </si>
  <si>
    <t>furl resistence [Kg]</t>
  </si>
  <si>
    <t>ugao pivota [°]</t>
  </si>
  <si>
    <t xml:space="preserve"> </t>
  </si>
  <si>
    <t>ugao repa [°]</t>
  </si>
  <si>
    <t>duzina repa [m]</t>
  </si>
  <si>
    <t>Blade Calculator</t>
  </si>
  <si>
    <t>Angle of attack</t>
  </si>
  <si>
    <t>deg</t>
  </si>
  <si>
    <t>Tip Ratio</t>
  </si>
  <si>
    <t>Radius</t>
  </si>
  <si>
    <t>mm</t>
  </si>
  <si>
    <t>Blade Number</t>
  </si>
  <si>
    <t>Cord</t>
  </si>
  <si>
    <t>Angle</t>
  </si>
  <si>
    <t>Width</t>
  </si>
  <si>
    <t>Drop</t>
  </si>
  <si>
    <t>Based on the formulars supplied by Hugh Piggott.</t>
  </si>
  <si>
    <t>http://www.thebackshed.com/Windmill/PropellerBlades.asp</t>
  </si>
  <si>
    <t>IZRACUNAVANJE SNAGE [W]
U ODNOSU NA PRECNIK ROTORA I BRZINE VETRA</t>
  </si>
  <si>
    <t>IZRACUNAVANJE PRECNIKA [M] ROTORA U 
ODNOSU NA SNAGU I BRZINU VETRA</t>
  </si>
  <si>
    <t>Where:  P = power in watts                                                                          P=Snaga u Watima</t>
  </si>
  <si>
    <t>            AD = air density ( typically 1.22 at sea level )                                AD= Gustina vazduha (tipicno 1.22)</t>
  </si>
  <si>
    <t>            D = Diameter of prop ( in meters )                                                 D= Precnik rotora u M</t>
  </si>
  <si>
    <t>            V = Velocity of the wind ( in meters/sec )                                   V= Bzina vetra (u M/sec)</t>
  </si>
  <si>
    <t>0.5² * AD² * (D² *2² *0.7854)* V³</t>
  </si>
  <si>
    <t>br.obrtaja</t>
  </si>
  <si>
    <t>napon [V]</t>
  </si>
  <si>
    <t>Sa 1 magnetnim rotorom
65nam 1.8mm</t>
  </si>
  <si>
    <t>Sa 2 magnetna rotorom
65nam 1.8mm</t>
  </si>
  <si>
    <t>indukcija
0.23T</t>
  </si>
  <si>
    <t>indukcija
0.54T</t>
  </si>
  <si>
    <t>Precnik rotora[M]</t>
  </si>
  <si>
    <t>Brzina vetra[M/sec]</t>
  </si>
  <si>
    <t>gustina vazduha[kg/m³]</t>
  </si>
  <si>
    <t>povrsina rotora[M²]</t>
  </si>
  <si>
    <t>snaga vetra[W]</t>
  </si>
  <si>
    <t>Betz limit</t>
  </si>
  <si>
    <t>30% iskoristivost</t>
  </si>
  <si>
    <t>Watts output = .00508 x Area x windspeed^3 x efficiency</t>
  </si>
  <si>
    <t>0.0058x[3x4]x15³x[0.41x0.75]=63.26W</t>
  </si>
  <si>
    <t>BRZINA VETRA [mp/h]</t>
  </si>
  <si>
    <t>VISINA ROTORA [ft]</t>
  </si>
  <si>
    <t>PRECNIK ROTORA[ft]</t>
  </si>
  <si>
    <t>SNAGA [W]</t>
  </si>
  <si>
    <t>&lt;-[m/sec]</t>
  </si>
  <si>
    <t>&lt;-[m]</t>
  </si>
  <si>
    <t>BRZINA VETRA [Mp/h]</t>
  </si>
  <si>
    <t>&lt;-[m²]</t>
  </si>
  <si>
    <t>15mph x 88 / ( 3 x 3.14 ) x .8 = 112 rpm</t>
  </si>
  <si>
    <t>Brzina okretanja generatora sa TSR 0.8 [o/min]</t>
  </si>
  <si>
    <t>Brzina okretanja generatora sa TSR 1.6 [o/min]</t>
  </si>
  <si>
    <t>POVRSINA ROTORA [ft²]</t>
  </si>
  <si>
    <t>Izracunavanje snage u odnosu
 brzine I dimenzije rotora</t>
  </si>
  <si>
    <t>Izracunavanje povrsine rotora 
u odnosu na zeljenu snagu</t>
  </si>
  <si>
    <t>64 watts / ( .00508 x 15^3 x (.75x.41)) = 11.94 sq ft ( or a 3ft diameter x 4 ft tall )</t>
  </si>
</sst>
</file>

<file path=xl/styles.xml><?xml version="1.0" encoding="utf-8"?>
<styleSheet xmlns="http://schemas.openxmlformats.org/spreadsheetml/2006/main">
  <numFmts count="1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1A]d\.\ mmmm\ yyyy"/>
  </numFmts>
  <fonts count="26">
    <font>
      <sz val="10"/>
      <name val="Arial"/>
      <family val="0"/>
    </font>
    <font>
      <sz val="8"/>
      <name val="Arial"/>
      <family val="0"/>
    </font>
    <font>
      <u val="single"/>
      <sz val="10"/>
      <color indexed="12"/>
      <name val="Arial"/>
      <family val="0"/>
    </font>
    <font>
      <u val="single"/>
      <sz val="10"/>
      <color indexed="36"/>
      <name val="Arial"/>
      <family val="0"/>
    </font>
    <font>
      <sz val="12"/>
      <name val="Arial"/>
      <family val="0"/>
    </font>
    <font>
      <b/>
      <sz val="12"/>
      <name val="Arial"/>
      <family val="2"/>
    </font>
    <font>
      <b/>
      <sz val="10"/>
      <name val="Arial"/>
      <family val="2"/>
    </font>
    <font>
      <b/>
      <sz val="14"/>
      <name val="Arial"/>
      <family val="2"/>
    </font>
    <font>
      <sz val="12"/>
      <color indexed="10"/>
      <name val="Arial"/>
      <family val="0"/>
    </font>
    <font>
      <b/>
      <sz val="12"/>
      <color indexed="10"/>
      <name val="Arial"/>
      <family val="2"/>
    </font>
    <font>
      <sz val="9.5"/>
      <name val="Arial"/>
      <family val="0"/>
    </font>
    <font>
      <b/>
      <sz val="8"/>
      <name val="Arial"/>
      <family val="2"/>
    </font>
    <font>
      <sz val="9"/>
      <name val="Arial"/>
      <family val="0"/>
    </font>
    <font>
      <b/>
      <sz val="9"/>
      <name val="Arial"/>
      <family val="2"/>
    </font>
    <font>
      <b/>
      <sz val="8"/>
      <color indexed="14"/>
      <name val="Arial"/>
      <family val="0"/>
    </font>
    <font>
      <b/>
      <sz val="8"/>
      <color indexed="8"/>
      <name val="Arial"/>
      <family val="0"/>
    </font>
    <font>
      <b/>
      <u val="single"/>
      <sz val="8"/>
      <name val="Arial"/>
      <family val="0"/>
    </font>
    <font>
      <b/>
      <u val="single"/>
      <sz val="8"/>
      <color indexed="8"/>
      <name val="Arial"/>
      <family val="0"/>
    </font>
    <font>
      <sz val="20"/>
      <name val="Arial"/>
      <family val="2"/>
    </font>
    <font>
      <sz val="7"/>
      <color indexed="8"/>
      <name val="Arial"/>
      <family val="2"/>
    </font>
    <font>
      <sz val="7"/>
      <color indexed="8"/>
      <name val="Georgia"/>
      <family val="1"/>
    </font>
    <font>
      <sz val="12"/>
      <name val="Times New Roman"/>
      <family val="1"/>
    </font>
    <font>
      <sz val="10"/>
      <color indexed="12"/>
      <name val="Arial"/>
      <family val="2"/>
    </font>
    <font>
      <b/>
      <sz val="12"/>
      <color indexed="8"/>
      <name val="Arial"/>
      <family val="2"/>
    </font>
    <font>
      <b/>
      <sz val="10"/>
      <color indexed="12"/>
      <name val="Arial"/>
      <family val="2"/>
    </font>
    <font>
      <sz val="10"/>
      <color indexed="8"/>
      <name val="Arial"/>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21">
    <border>
      <left/>
      <right/>
      <top/>
      <bottom/>
      <diagonal/>
    </border>
    <border>
      <left style="double">
        <color indexed="23"/>
      </left>
      <right style="double">
        <color indexed="23"/>
      </right>
      <top style="double">
        <color indexed="23"/>
      </top>
      <bottom style="double">
        <color indexed="23"/>
      </bottom>
    </border>
    <border>
      <left style="thin"/>
      <right style="thin"/>
      <top style="thin"/>
      <bottom style="thin"/>
    </border>
    <border>
      <left style="thin">
        <color indexed="55"/>
      </left>
      <right style="thin">
        <color indexed="55"/>
      </right>
      <top style="dashed">
        <color indexed="55"/>
      </top>
      <bottom style="dashed">
        <color indexed="55"/>
      </bottom>
    </border>
    <border>
      <left style="thin">
        <color indexed="55"/>
      </left>
      <right style="thin">
        <color indexed="55"/>
      </right>
      <top style="dashed">
        <color indexed="55"/>
      </top>
      <bottom style="thin">
        <color indexed="55"/>
      </bottom>
    </border>
    <border>
      <left style="thin">
        <color indexed="55"/>
      </left>
      <right style="thin">
        <color indexed="55"/>
      </right>
      <top>
        <color indexed="63"/>
      </top>
      <bottom style="dashed">
        <color indexed="55"/>
      </bottom>
    </border>
    <border>
      <left style="thin">
        <color indexed="55"/>
      </left>
      <right style="thin">
        <color indexed="55"/>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double">
        <color indexed="23"/>
      </left>
      <right>
        <color indexed="63"/>
      </right>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lignment horizontal="center"/>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4" fillId="2" borderId="1" xfId="0" applyFont="1" applyFill="1" applyBorder="1" applyAlignment="1" applyProtection="1">
      <alignment horizontal="center"/>
      <protection locked="0"/>
    </xf>
    <xf numFmtId="0" fontId="6" fillId="0" borderId="0" xfId="0" applyFont="1" applyAlignment="1">
      <alignment horizontal="right"/>
    </xf>
    <xf numFmtId="0" fontId="5" fillId="3" borderId="2" xfId="0" applyFont="1" applyFill="1" applyBorder="1" applyAlignment="1">
      <alignment horizontal="right"/>
    </xf>
    <xf numFmtId="164" fontId="5" fillId="3" borderId="2" xfId="0" applyNumberFormat="1" applyFont="1" applyFill="1" applyBorder="1" applyAlignment="1">
      <alignment/>
    </xf>
    <xf numFmtId="165" fontId="5" fillId="3" borderId="2" xfId="0" applyNumberFormat="1" applyFont="1" applyFill="1" applyBorder="1" applyAlignment="1">
      <alignment/>
    </xf>
    <xf numFmtId="0" fontId="7" fillId="0" borderId="0" xfId="0" applyFont="1" applyAlignment="1">
      <alignment/>
    </xf>
    <xf numFmtId="0" fontId="5" fillId="4" borderId="2" xfId="0" applyFont="1" applyFill="1" applyBorder="1" applyAlignment="1">
      <alignment horizontal="right"/>
    </xf>
    <xf numFmtId="0" fontId="5" fillId="5" borderId="2" xfId="0" applyFont="1" applyFill="1" applyBorder="1" applyAlignment="1">
      <alignment/>
    </xf>
    <xf numFmtId="0" fontId="4" fillId="0" borderId="0" xfId="0" applyFont="1" applyFill="1" applyBorder="1" applyAlignment="1" applyProtection="1">
      <alignment horizontal="center"/>
      <protection locked="0"/>
    </xf>
    <xf numFmtId="0" fontId="8" fillId="5" borderId="1" xfId="0" applyFont="1" applyFill="1" applyBorder="1" applyAlignment="1" applyProtection="1">
      <alignment horizontal="center"/>
      <protection locked="0"/>
    </xf>
    <xf numFmtId="165" fontId="9" fillId="5" borderId="2" xfId="0" applyNumberFormat="1" applyFont="1" applyFill="1" applyBorder="1" applyAlignment="1">
      <alignment horizontal="center"/>
    </xf>
    <xf numFmtId="0" fontId="8" fillId="4" borderId="1" xfId="0" applyFont="1" applyFill="1" applyBorder="1" applyAlignment="1" applyProtection="1">
      <alignment horizontal="center"/>
      <protection locked="0"/>
    </xf>
    <xf numFmtId="165" fontId="9" fillId="4" borderId="2" xfId="0" applyNumberFormat="1" applyFont="1" applyFill="1" applyBorder="1" applyAlignment="1">
      <alignment horizontal="center"/>
    </xf>
    <xf numFmtId="2" fontId="0" fillId="0" borderId="0" xfId="0" applyNumberFormat="1" applyAlignment="1">
      <alignment/>
    </xf>
    <xf numFmtId="2" fontId="0" fillId="2" borderId="1" xfId="0" applyNumberFormat="1" applyFill="1" applyBorder="1" applyAlignment="1">
      <alignment/>
    </xf>
    <xf numFmtId="2" fontId="0" fillId="0" borderId="1" xfId="0" applyNumberFormat="1" applyBorder="1"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righ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wrapText="1"/>
    </xf>
    <xf numFmtId="0" fontId="0" fillId="4" borderId="0" xfId="0" applyFill="1" applyAlignment="1">
      <alignment horizontal="center"/>
    </xf>
    <xf numFmtId="0" fontId="0" fillId="4" borderId="6" xfId="0" applyFill="1" applyBorder="1" applyAlignment="1">
      <alignment horizontal="center"/>
    </xf>
    <xf numFmtId="0" fontId="12" fillId="0" borderId="0" xfId="0" applyFont="1" applyAlignment="1">
      <alignment/>
    </xf>
    <xf numFmtId="0" fontId="1"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lignment wrapText="1"/>
    </xf>
    <xf numFmtId="0" fontId="15" fillId="0" borderId="0" xfId="0" applyFont="1" applyAlignment="1">
      <alignment wrapText="1"/>
    </xf>
    <xf numFmtId="0" fontId="15" fillId="0" borderId="0" xfId="0" applyFont="1" applyAlignment="1">
      <alignment/>
    </xf>
    <xf numFmtId="0" fontId="17" fillId="0" borderId="0" xfId="0" applyFont="1" applyAlignment="1">
      <alignment/>
    </xf>
    <xf numFmtId="0" fontId="12" fillId="0" borderId="2" xfId="0" applyFont="1" applyBorder="1" applyAlignment="1">
      <alignment/>
    </xf>
    <xf numFmtId="0" fontId="12" fillId="2" borderId="2"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0" fontId="12" fillId="0" borderId="2" xfId="0" applyFont="1" applyBorder="1" applyAlignment="1">
      <alignment horizontal="right"/>
    </xf>
    <xf numFmtId="0" fontId="13" fillId="6" borderId="2" xfId="0" applyFont="1" applyFill="1" applyBorder="1" applyAlignment="1">
      <alignment/>
    </xf>
    <xf numFmtId="1" fontId="13" fillId="6" borderId="2" xfId="0" applyNumberFormat="1" applyFont="1" applyFill="1" applyBorder="1" applyAlignment="1">
      <alignment/>
    </xf>
    <xf numFmtId="0" fontId="13" fillId="6" borderId="2" xfId="0" applyFont="1" applyFill="1" applyBorder="1" applyAlignment="1">
      <alignment horizontal="right"/>
    </xf>
    <xf numFmtId="0" fontId="12" fillId="0" borderId="7" xfId="0" applyFont="1" applyBorder="1" applyAlignment="1">
      <alignment/>
    </xf>
    <xf numFmtId="2" fontId="13" fillId="6" borderId="2" xfId="0" applyNumberFormat="1" applyFont="1" applyFill="1" applyBorder="1" applyAlignment="1">
      <alignment/>
    </xf>
    <xf numFmtId="0" fontId="0" fillId="2" borderId="0" xfId="0" applyFill="1" applyAlignment="1">
      <alignment/>
    </xf>
    <xf numFmtId="0" fontId="0" fillId="0" borderId="0" xfId="0" applyFill="1" applyAlignment="1">
      <alignment/>
    </xf>
    <xf numFmtId="165" fontId="0" fillId="0" borderId="0" xfId="0" applyNumberFormat="1" applyAlignment="1">
      <alignment/>
    </xf>
    <xf numFmtId="0" fontId="18" fillId="0" borderId="0" xfId="0" applyFont="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0" xfId="0" applyFill="1" applyBorder="1" applyAlignment="1">
      <alignment/>
    </xf>
    <xf numFmtId="0" fontId="0" fillId="7" borderId="2" xfId="0" applyFill="1" applyBorder="1" applyAlignment="1">
      <alignment/>
    </xf>
    <xf numFmtId="0" fontId="0" fillId="3" borderId="12" xfId="0" applyFill="1" applyBorder="1" applyAlignment="1">
      <alignment/>
    </xf>
    <xf numFmtId="0" fontId="6" fillId="3" borderId="0" xfId="0" applyFont="1" applyFill="1" applyBorder="1" applyAlignment="1">
      <alignment horizontal="right"/>
    </xf>
    <xf numFmtId="2" fontId="0" fillId="6" borderId="2" xfId="0" applyNumberFormat="1" applyFill="1" applyBorder="1" applyAlignment="1">
      <alignment/>
    </xf>
    <xf numFmtId="0" fontId="19" fillId="0" borderId="0" xfId="0" applyFont="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20" fillId="0" borderId="0" xfId="0" applyFont="1" applyAlignment="1">
      <alignment/>
    </xf>
    <xf numFmtId="0" fontId="2" fillId="0" borderId="0" xfId="20" applyAlignment="1">
      <alignment/>
    </xf>
    <xf numFmtId="0" fontId="13" fillId="0" borderId="0" xfId="0" applyFont="1" applyAlignment="1">
      <alignment/>
    </xf>
    <xf numFmtId="0" fontId="22" fillId="0" borderId="0" xfId="0" applyFont="1" applyAlignment="1">
      <alignment/>
    </xf>
    <xf numFmtId="0" fontId="0" fillId="0" borderId="0" xfId="0" applyFont="1" applyAlignment="1">
      <alignment/>
    </xf>
    <xf numFmtId="0" fontId="21" fillId="0" borderId="0" xfId="0" applyFont="1" applyAlignment="1">
      <alignment/>
    </xf>
    <xf numFmtId="165" fontId="0" fillId="0" borderId="0" xfId="0" applyNumberFormat="1" applyAlignment="1">
      <alignment horizontal="center"/>
    </xf>
    <xf numFmtId="0" fontId="0" fillId="0" borderId="0" xfId="0" applyAlignment="1">
      <alignment wrapText="1"/>
    </xf>
    <xf numFmtId="0" fontId="6" fillId="3" borderId="0" xfId="0" applyFont="1" applyFill="1" applyAlignment="1">
      <alignment/>
    </xf>
    <xf numFmtId="2" fontId="6" fillId="3" borderId="0" xfId="0" applyNumberFormat="1" applyFont="1" applyFill="1" applyAlignment="1">
      <alignment/>
    </xf>
    <xf numFmtId="0" fontId="0" fillId="0" borderId="2" xfId="0" applyBorder="1" applyAlignment="1">
      <alignment/>
    </xf>
    <xf numFmtId="0" fontId="0" fillId="2" borderId="2" xfId="0" applyFill="1" applyBorder="1" applyAlignment="1">
      <alignment/>
    </xf>
    <xf numFmtId="2" fontId="0" fillId="0" borderId="2" xfId="0" applyNumberFormat="1" applyBorder="1" applyAlignment="1">
      <alignment/>
    </xf>
    <xf numFmtId="165" fontId="0" fillId="0" borderId="2" xfId="0" applyNumberFormat="1" applyBorder="1" applyAlignment="1">
      <alignment/>
    </xf>
    <xf numFmtId="9" fontId="0" fillId="0" borderId="2" xfId="0" applyNumberFormat="1" applyBorder="1" applyAlignment="1">
      <alignment/>
    </xf>
    <xf numFmtId="9" fontId="12" fillId="0" borderId="2" xfId="0" applyNumberFormat="1" applyFont="1" applyFill="1" applyBorder="1" applyAlignment="1">
      <alignment/>
    </xf>
    <xf numFmtId="0" fontId="5" fillId="4" borderId="2" xfId="0" applyFont="1" applyFill="1" applyBorder="1" applyAlignment="1">
      <alignment/>
    </xf>
    <xf numFmtId="2" fontId="5" fillId="4" borderId="2" xfId="0" applyNumberFormat="1" applyFont="1" applyFill="1" applyBorder="1" applyAlignment="1">
      <alignment/>
    </xf>
    <xf numFmtId="0" fontId="12" fillId="0" borderId="2" xfId="0" applyFont="1" applyFill="1" applyBorder="1" applyAlignment="1">
      <alignment/>
    </xf>
    <xf numFmtId="0" fontId="5" fillId="8" borderId="2" xfId="0" applyFont="1" applyFill="1" applyBorder="1" applyAlignment="1">
      <alignment/>
    </xf>
    <xf numFmtId="0" fontId="7" fillId="8" borderId="2" xfId="0" applyFont="1" applyFill="1" applyBorder="1" applyAlignment="1">
      <alignment/>
    </xf>
    <xf numFmtId="0" fontId="23" fillId="0" borderId="0" xfId="0" applyFont="1" applyAlignment="1">
      <alignment horizontal="left"/>
    </xf>
    <xf numFmtId="0" fontId="0" fillId="0" borderId="0" xfId="0" applyAlignment="1">
      <alignment horizontal="left"/>
    </xf>
    <xf numFmtId="0" fontId="6" fillId="0" borderId="0" xfId="0" applyFont="1" applyFill="1" applyAlignment="1">
      <alignment horizontal="center"/>
    </xf>
    <xf numFmtId="0" fontId="6" fillId="3" borderId="16" xfId="0" applyFont="1" applyFill="1" applyBorder="1" applyAlignment="1">
      <alignment horizontal="center" wrapText="1"/>
    </xf>
    <xf numFmtId="0" fontId="6" fillId="3" borderId="16" xfId="0" applyFont="1" applyFill="1" applyBorder="1" applyAlignment="1">
      <alignment horizontal="center"/>
    </xf>
    <xf numFmtId="0" fontId="6" fillId="0" borderId="16" xfId="0" applyFont="1" applyBorder="1" applyAlignment="1">
      <alignment horizontal="right"/>
    </xf>
    <xf numFmtId="0" fontId="24" fillId="5" borderId="16" xfId="0" applyFont="1" applyFill="1" applyBorder="1" applyAlignment="1">
      <alignment horizontal="right"/>
    </xf>
    <xf numFmtId="2" fontId="24" fillId="5" borderId="16" xfId="0" applyNumberFormat="1" applyFont="1" applyFill="1" applyBorder="1" applyAlignment="1">
      <alignment/>
    </xf>
    <xf numFmtId="0" fontId="6" fillId="3" borderId="16" xfId="0" applyFont="1" applyFill="1" applyBorder="1" applyAlignment="1">
      <alignment horizontal="left" wrapText="1"/>
    </xf>
    <xf numFmtId="0" fontId="6" fillId="3" borderId="16" xfId="0" applyFont="1" applyFill="1" applyBorder="1" applyAlignment="1">
      <alignment horizontal="left"/>
    </xf>
    <xf numFmtId="0" fontId="6" fillId="0" borderId="16" xfId="0" applyFont="1" applyFill="1" applyBorder="1" applyAlignment="1">
      <alignment horizontal="left"/>
    </xf>
    <xf numFmtId="0" fontId="0" fillId="0" borderId="16" xfId="0" applyBorder="1" applyAlignment="1">
      <alignment/>
    </xf>
    <xf numFmtId="0" fontId="24" fillId="5" borderId="16" xfId="0" applyFont="1" applyFill="1" applyBorder="1" applyAlignment="1">
      <alignment/>
    </xf>
    <xf numFmtId="0" fontId="24" fillId="5" borderId="0" xfId="0" applyFont="1" applyFill="1" applyAlignment="1">
      <alignment/>
    </xf>
    <xf numFmtId="2" fontId="0" fillId="2" borderId="16" xfId="0" applyNumberFormat="1" applyFill="1" applyBorder="1" applyAlignment="1" applyProtection="1">
      <alignment/>
      <protection locked="0"/>
    </xf>
    <xf numFmtId="0" fontId="25" fillId="0" borderId="0" xfId="0" applyFont="1" applyAlignment="1">
      <alignment horizontal="left"/>
    </xf>
    <xf numFmtId="0" fontId="0" fillId="0" borderId="0" xfId="0" applyFont="1" applyAlignment="1">
      <alignment horizontal="left"/>
    </xf>
    <xf numFmtId="0" fontId="0" fillId="0" borderId="0" xfId="0" applyAlignment="1">
      <alignment horizontal="center" wrapText="1"/>
    </xf>
    <xf numFmtId="0" fontId="0" fillId="0" borderId="0" xfId="0" applyAlignment="1">
      <alignment horizontal="center"/>
    </xf>
    <xf numFmtId="0" fontId="5" fillId="0" borderId="0" xfId="0" applyFont="1" applyAlignment="1">
      <alignment horizontal="center" wrapText="1"/>
    </xf>
    <xf numFmtId="0" fontId="5" fillId="0" borderId="0" xfId="0" applyFont="1" applyAlignment="1">
      <alignment wrapText="1"/>
    </xf>
    <xf numFmtId="0" fontId="0" fillId="0" borderId="17" xfId="0" applyBorder="1" applyAlignment="1">
      <alignment horizontal="center" wrapText="1"/>
    </xf>
    <xf numFmtId="0" fontId="0" fillId="0" borderId="17" xfId="0" applyBorder="1" applyAlignment="1">
      <alignment wrapText="1"/>
    </xf>
    <xf numFmtId="0" fontId="0" fillId="0" borderId="0" xfId="0" applyAlignment="1">
      <alignment wrapText="1"/>
    </xf>
    <xf numFmtId="0" fontId="6" fillId="0" borderId="18" xfId="0" applyFont="1" applyBorder="1" applyAlignment="1">
      <alignment horizontal="center" wrapText="1"/>
    </xf>
    <xf numFmtId="0" fontId="6" fillId="0" borderId="18" xfId="0" applyFont="1" applyBorder="1" applyAlignment="1">
      <alignment wrapText="1"/>
    </xf>
    <xf numFmtId="0" fontId="0" fillId="0" borderId="19" xfId="0" applyBorder="1" applyAlignment="1">
      <alignment wrapText="1"/>
    </xf>
    <xf numFmtId="0" fontId="13" fillId="0" borderId="2" xfId="0" applyFont="1" applyBorder="1" applyAlignment="1">
      <alignment wrapText="1"/>
    </xf>
    <xf numFmtId="0" fontId="6" fillId="0" borderId="2" xfId="0" applyFont="1" applyBorder="1" applyAlignment="1">
      <alignment wrapText="1"/>
    </xf>
    <xf numFmtId="0" fontId="0" fillId="0" borderId="2" xfId="0" applyBorder="1" applyAlignment="1">
      <alignment wrapText="1"/>
    </xf>
    <xf numFmtId="0" fontId="13" fillId="0" borderId="20" xfId="0" applyFont="1" applyBorder="1" applyAlignment="1">
      <alignment wrapText="1"/>
    </xf>
    <xf numFmtId="0" fontId="6" fillId="0" borderId="2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PROMENA NAPONA U ZAVISNOSI OD BROJA OBRTAJA[65 namotaja]</a:t>
            </a:r>
          </a:p>
        </c:rich>
      </c:tx>
      <c:layout>
        <c:manualLayout>
          <c:xMode val="factor"/>
          <c:yMode val="factor"/>
          <c:x val="-0.027"/>
          <c:y val="0.0115"/>
        </c:manualLayout>
      </c:layout>
      <c:spPr>
        <a:noFill/>
        <a:ln>
          <a:noFill/>
        </a:ln>
      </c:spPr>
    </c:title>
    <c:plotArea>
      <c:layout>
        <c:manualLayout>
          <c:xMode val="edge"/>
          <c:yMode val="edge"/>
          <c:x val="0.02175"/>
          <c:y val="0.15875"/>
          <c:w val="0.834"/>
          <c:h val="0.80325"/>
        </c:manualLayout>
      </c:layout>
      <c:lineChart>
        <c:grouping val="standard"/>
        <c:varyColors val="0"/>
        <c:ser>
          <c:idx val="0"/>
          <c:order val="0"/>
          <c:tx>
            <c:strRef>
              <c:f>Mernje!$B$5</c:f>
              <c:strCache>
                <c:ptCount val="1"/>
                <c:pt idx="0">
                  <c:v>Br.
Obrtaja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val>
            <c:numRef>
              <c:f>Mernje!$B$6:$B$14</c:f>
              <c:numCache>
                <c:ptCount val="9"/>
                <c:pt idx="0">
                  <c:v>56</c:v>
                </c:pt>
                <c:pt idx="1">
                  <c:v>62</c:v>
                </c:pt>
                <c:pt idx="2">
                  <c:v>75</c:v>
                </c:pt>
                <c:pt idx="3">
                  <c:v>85</c:v>
                </c:pt>
                <c:pt idx="4">
                  <c:v>98</c:v>
                </c:pt>
                <c:pt idx="5">
                  <c:v>110</c:v>
                </c:pt>
                <c:pt idx="6">
                  <c:v>116</c:v>
                </c:pt>
                <c:pt idx="7">
                  <c:v>130</c:v>
                </c:pt>
                <c:pt idx="8">
                  <c:v>142</c:v>
                </c:pt>
              </c:numCache>
            </c:numRef>
          </c:val>
          <c:smooth val="0"/>
        </c:ser>
        <c:ser>
          <c:idx val="1"/>
          <c:order val="1"/>
          <c:tx>
            <c:strRef>
              <c:f>Mernje!$C$5</c:f>
              <c:strCache>
                <c:ptCount val="1"/>
                <c:pt idx="0">
                  <c:v>Napon 
[V]</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val>
            <c:numRef>
              <c:f>Mernje!$C$6:$C$14</c:f>
              <c:numCache>
                <c:ptCount val="9"/>
                <c:pt idx="0">
                  <c:v>14</c:v>
                </c:pt>
                <c:pt idx="1">
                  <c:v>15.5</c:v>
                </c:pt>
                <c:pt idx="2">
                  <c:v>18</c:v>
                </c:pt>
                <c:pt idx="3">
                  <c:v>20</c:v>
                </c:pt>
                <c:pt idx="4">
                  <c:v>24</c:v>
                </c:pt>
                <c:pt idx="5">
                  <c:v>27</c:v>
                </c:pt>
                <c:pt idx="6">
                  <c:v>28.5</c:v>
                </c:pt>
                <c:pt idx="7">
                  <c:v>31.5</c:v>
                </c:pt>
                <c:pt idx="8">
                  <c:v>35.5</c:v>
                </c:pt>
              </c:numCache>
            </c:numRef>
          </c:val>
          <c:smooth val="0"/>
        </c:ser>
        <c:marker val="1"/>
        <c:axId val="16711226"/>
        <c:axId val="16183307"/>
      </c:lineChart>
      <c:catAx>
        <c:axId val="16711226"/>
        <c:scaling>
          <c:orientation val="minMax"/>
        </c:scaling>
        <c:axPos val="b"/>
        <c:delete val="0"/>
        <c:numFmt formatCode="General" sourceLinked="1"/>
        <c:majorTickMark val="out"/>
        <c:minorTickMark val="none"/>
        <c:tickLblPos val="nextTo"/>
        <c:crossAx val="16183307"/>
        <c:crosses val="autoZero"/>
        <c:auto val="1"/>
        <c:lblOffset val="100"/>
        <c:noMultiLvlLbl val="0"/>
      </c:catAx>
      <c:valAx>
        <c:axId val="16183307"/>
        <c:scaling>
          <c:orientation val="minMax"/>
        </c:scaling>
        <c:axPos val="l"/>
        <c:majorGridlines/>
        <c:delete val="0"/>
        <c:numFmt formatCode="General" sourceLinked="1"/>
        <c:majorTickMark val="out"/>
        <c:minorTickMark val="none"/>
        <c:tickLblPos val="nextTo"/>
        <c:crossAx val="1671122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OPTERECEN SA 1.7 oma</a:t>
            </a:r>
          </a:p>
        </c:rich>
      </c:tx>
      <c:layout/>
      <c:spPr>
        <a:noFill/>
        <a:ln>
          <a:noFill/>
        </a:ln>
      </c:spPr>
    </c:title>
    <c:plotArea>
      <c:layout>
        <c:manualLayout>
          <c:xMode val="edge"/>
          <c:yMode val="edge"/>
          <c:x val="0.01875"/>
          <c:y val="0.26575"/>
          <c:w val="0.9625"/>
          <c:h val="0.73425"/>
        </c:manualLayout>
      </c:layout>
      <c:lineChart>
        <c:grouping val="stacked"/>
        <c:varyColors val="0"/>
        <c:ser>
          <c:idx val="1"/>
          <c:order val="0"/>
          <c:tx>
            <c:strRef>
              <c:f>Mernje!$G$5</c:f>
              <c:strCache>
                <c:ptCount val="1"/>
                <c:pt idx="0">
                  <c:v>Napon 
[V]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val>
            <c:numRef>
              <c:f>Mernje!$G$6:$G$12</c:f>
              <c:numCache>
                <c:ptCount val="7"/>
                <c:pt idx="0">
                  <c:v>14</c:v>
                </c:pt>
                <c:pt idx="1">
                  <c:v>14.4</c:v>
                </c:pt>
                <c:pt idx="2">
                  <c:v>15</c:v>
                </c:pt>
                <c:pt idx="3">
                  <c:v>16.4</c:v>
                </c:pt>
                <c:pt idx="4">
                  <c:v>17.9</c:v>
                </c:pt>
                <c:pt idx="5">
                  <c:v>15.5</c:v>
                </c:pt>
                <c:pt idx="6">
                  <c:v>13.7</c:v>
                </c:pt>
              </c:numCache>
            </c:numRef>
          </c:val>
          <c:smooth val="0"/>
        </c:ser>
        <c:ser>
          <c:idx val="0"/>
          <c:order val="1"/>
          <c:tx>
            <c:strRef>
              <c:f>Mernje!$H$5</c:f>
              <c:strCache>
                <c:ptCount val="1"/>
                <c:pt idx="0">
                  <c:v>Struja
[A]</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dLblPos val="r"/>
            <c:showLegendKey val="0"/>
            <c:showVal val="1"/>
            <c:showBubbleSize val="0"/>
            <c:showCatName val="0"/>
            <c:showSerName val="0"/>
            <c:showLeaderLines val="1"/>
            <c:showPercent val="0"/>
          </c:dLbls>
          <c:val>
            <c:numRef>
              <c:f>Mernje!$H$6:$H$12</c:f>
              <c:numCache>
                <c:ptCount val="7"/>
                <c:pt idx="0">
                  <c:v>6</c:v>
                </c:pt>
                <c:pt idx="1">
                  <c:v>6.3</c:v>
                </c:pt>
                <c:pt idx="2">
                  <c:v>6.4</c:v>
                </c:pt>
                <c:pt idx="3">
                  <c:v>7.1</c:v>
                </c:pt>
                <c:pt idx="4">
                  <c:v>7.8</c:v>
                </c:pt>
                <c:pt idx="5">
                  <c:v>9.5</c:v>
                </c:pt>
                <c:pt idx="6">
                  <c:v>10.1</c:v>
                </c:pt>
              </c:numCache>
            </c:numRef>
          </c:val>
          <c:smooth val="0"/>
        </c:ser>
        <c:ser>
          <c:idx val="2"/>
          <c:order val="2"/>
          <c:tx>
            <c:strRef>
              <c:f>Mernje!$F$5</c:f>
              <c:strCache>
                <c:ptCount val="1"/>
                <c:pt idx="0">
                  <c:v>Br.
Obrtaja</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dLblPos val="l"/>
            <c:showLegendKey val="0"/>
            <c:showVal val="1"/>
            <c:showBubbleSize val="0"/>
            <c:showCatName val="0"/>
            <c:showSerName val="0"/>
            <c:showLeaderLines val="1"/>
            <c:showPercent val="0"/>
          </c:dLbls>
          <c:val>
            <c:numRef>
              <c:f>Mernje!$F$6:$F$12</c:f>
              <c:numCache>
                <c:ptCount val="7"/>
                <c:pt idx="0">
                  <c:v>75</c:v>
                </c:pt>
                <c:pt idx="1">
                  <c:v>80</c:v>
                </c:pt>
                <c:pt idx="2">
                  <c:v>84</c:v>
                </c:pt>
                <c:pt idx="3">
                  <c:v>88</c:v>
                </c:pt>
                <c:pt idx="4">
                  <c:v>100</c:v>
                </c:pt>
                <c:pt idx="5">
                  <c:v>84</c:v>
                </c:pt>
                <c:pt idx="6">
                  <c:v>87</c:v>
                </c:pt>
              </c:numCache>
            </c:numRef>
          </c:val>
          <c:smooth val="0"/>
        </c:ser>
        <c:marker val="1"/>
        <c:axId val="11432036"/>
        <c:axId val="35779461"/>
      </c:lineChart>
      <c:catAx>
        <c:axId val="11432036"/>
        <c:scaling>
          <c:orientation val="minMax"/>
        </c:scaling>
        <c:axPos val="b"/>
        <c:delete val="0"/>
        <c:numFmt formatCode="General" sourceLinked="1"/>
        <c:majorTickMark val="out"/>
        <c:minorTickMark val="none"/>
        <c:tickLblPos val="nextTo"/>
        <c:crossAx val="35779461"/>
        <c:crosses val="autoZero"/>
        <c:auto val="1"/>
        <c:lblOffset val="100"/>
        <c:noMultiLvlLbl val="0"/>
      </c:catAx>
      <c:valAx>
        <c:axId val="35779461"/>
        <c:scaling>
          <c:orientation val="minMax"/>
        </c:scaling>
        <c:axPos val="l"/>
        <c:majorGridlines/>
        <c:delete val="0"/>
        <c:numFmt formatCode="General" sourceLinked="1"/>
        <c:majorTickMark val="out"/>
        <c:minorTickMark val="none"/>
        <c:tickLblPos val="nextTo"/>
        <c:crossAx val="11432036"/>
        <c:crossesAt val="1"/>
        <c:crossBetween val="between"/>
        <c:dispUnits/>
      </c:valAx>
      <c:spPr>
        <a:solidFill>
          <a:srgbClr val="C0C0C0"/>
        </a:solidFill>
        <a:ln w="12700">
          <a:solidFill>
            <a:srgbClr val="808080"/>
          </a:solidFill>
        </a:ln>
      </c:spPr>
    </c:plotArea>
    <c:legend>
      <c:legendPos val="r"/>
      <c:layout>
        <c:manualLayout>
          <c:xMode val="edge"/>
          <c:yMode val="edge"/>
          <c:x val="0.135"/>
          <c:y val="0.137"/>
          <c:w val="0.77475"/>
          <c:h val="0.13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www.thebackshed.com/Windmill/images/profile.jpg" TargetMode="External" /><Relationship Id="rId3" Type="http://schemas.openxmlformats.org/officeDocument/2006/relationships/hyperlink" Target="http://www.thebackshed.com/Windmill/images/profile.jpg" TargetMode="External" /><Relationship Id="rId4" Type="http://schemas.openxmlformats.org/officeDocument/2006/relationships/image" Target="../media/image6.jpeg" /><Relationship Id="rId5" Type="http://schemas.openxmlformats.org/officeDocument/2006/relationships/hyperlink" Target="http://www.thebackshed.com/Windmill/images/stations.jpg" TargetMode="External" /><Relationship Id="rId6" Type="http://schemas.openxmlformats.org/officeDocument/2006/relationships/hyperlink" Target="http://www.thebackshed.com/Windmill/images/stations.jp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171450</xdr:colOff>
      <xdr:row>3</xdr:row>
      <xdr:rowOff>95250</xdr:rowOff>
    </xdr:from>
    <xdr:ext cx="4476750" cy="2990850"/>
    <xdr:sp>
      <xdr:nvSpPr>
        <xdr:cNvPr id="1" name="TextBox 1"/>
        <xdr:cNvSpPr txBox="1">
          <a:spLocks noChangeArrowheads="1"/>
        </xdr:cNvSpPr>
      </xdr:nvSpPr>
      <xdr:spPr>
        <a:xfrm>
          <a:off x="4743450" y="647700"/>
          <a:ext cx="4476750" cy="2990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Znaci da Vam treba regulisanih 12V +10/-0V. Jacina struje [A] treba da bude dovoljna da bi se baterija punila. 
Znaci, za 100 o/min,  pretpostavimo da imate ~0.4 [T] magnetnog polja preko zica. Ako su magneti rasporedjeni na (na primer) 100mm radiusa, to ce dati linearnu brzinu polja preko zica ~1.05 m/sec. Pretpostavimo da Vam je duzina provodnika (po polu) 30mm, i da (na primer) imate 24 pola
iz formule V=vBLn*np---- (np = broj polova)
radiusa, n=V/vBLnp -&gt; n=15/1.05*0.4*0.03*24 = ~50 namotaja
Potreban moment da se ovo ostvari, sa recimo 10 Ampera
M=BIL(n*np)r 
M=0.4*10*0.03(50*24)*0.1 = 14.4 [Nm]
Ako spustite zeljenu jacinu na 5 Ampera, naravno potrebni momenat se upolovljuje.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38100</xdr:rowOff>
    </xdr:from>
    <xdr:to>
      <xdr:col>8</xdr:col>
      <xdr:colOff>9525</xdr:colOff>
      <xdr:row>30</xdr:row>
      <xdr:rowOff>38100</xdr:rowOff>
    </xdr:to>
    <xdr:graphicFrame>
      <xdr:nvGraphicFramePr>
        <xdr:cNvPr id="1" name="Chart 2"/>
        <xdr:cNvGraphicFramePr/>
      </xdr:nvGraphicFramePr>
      <xdr:xfrm>
        <a:off x="38100" y="2505075"/>
        <a:ext cx="4476750" cy="2590800"/>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14</xdr:row>
      <xdr:rowOff>19050</xdr:rowOff>
    </xdr:from>
    <xdr:to>
      <xdr:col>15</xdr:col>
      <xdr:colOff>571500</xdr:colOff>
      <xdr:row>30</xdr:row>
      <xdr:rowOff>19050</xdr:rowOff>
    </xdr:to>
    <xdr:graphicFrame>
      <xdr:nvGraphicFramePr>
        <xdr:cNvPr id="2" name="Chart 3"/>
        <xdr:cNvGraphicFramePr/>
      </xdr:nvGraphicFramePr>
      <xdr:xfrm>
        <a:off x="4667250" y="2486025"/>
        <a:ext cx="5162550" cy="2590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4</xdr:row>
      <xdr:rowOff>9525</xdr:rowOff>
    </xdr:from>
    <xdr:to>
      <xdr:col>14</xdr:col>
      <xdr:colOff>409575</xdr:colOff>
      <xdr:row>25</xdr:row>
      <xdr:rowOff>123825</xdr:rowOff>
    </xdr:to>
    <xdr:pic>
      <xdr:nvPicPr>
        <xdr:cNvPr id="1" name="Picture 1"/>
        <xdr:cNvPicPr preferRelativeResize="1">
          <a:picLocks noChangeAspect="1"/>
        </xdr:cNvPicPr>
      </xdr:nvPicPr>
      <xdr:blipFill>
        <a:blip r:embed="rId1"/>
        <a:stretch>
          <a:fillRect/>
        </a:stretch>
      </xdr:blipFill>
      <xdr:spPr>
        <a:xfrm>
          <a:off x="7724775" y="657225"/>
          <a:ext cx="2200275" cy="3514725"/>
        </a:xfrm>
        <a:prstGeom prst="rect">
          <a:avLst/>
        </a:prstGeom>
        <a:noFill/>
        <a:ln w="9525" cmpd="sng">
          <a:noFill/>
        </a:ln>
      </xdr:spPr>
    </xdr:pic>
    <xdr:clientData/>
  </xdr:twoCellAnchor>
  <xdr:oneCellAnchor>
    <xdr:from>
      <xdr:col>0</xdr:col>
      <xdr:colOff>0</xdr:colOff>
      <xdr:row>7</xdr:row>
      <xdr:rowOff>161925</xdr:rowOff>
    </xdr:from>
    <xdr:ext cx="76200" cy="200025"/>
    <xdr:sp>
      <xdr:nvSpPr>
        <xdr:cNvPr id="2" name="TextBox 2"/>
        <xdr:cNvSpPr txBox="1">
          <a:spLocks noChangeArrowheads="1"/>
        </xdr:cNvSpPr>
      </xdr:nvSpPr>
      <xdr:spPr>
        <a:xfrm>
          <a:off x="0" y="1295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48</xdr:row>
      <xdr:rowOff>38100</xdr:rowOff>
    </xdr:from>
    <xdr:ext cx="76200" cy="200025"/>
    <xdr:sp>
      <xdr:nvSpPr>
        <xdr:cNvPr id="3" name="TextBox 3"/>
        <xdr:cNvSpPr txBox="1">
          <a:spLocks noChangeArrowheads="1"/>
        </xdr:cNvSpPr>
      </xdr:nvSpPr>
      <xdr:spPr>
        <a:xfrm>
          <a:off x="0" y="7810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3</xdr:row>
      <xdr:rowOff>47625</xdr:rowOff>
    </xdr:from>
    <xdr:ext cx="7496175" cy="6029325"/>
    <xdr:sp>
      <xdr:nvSpPr>
        <xdr:cNvPr id="4" name="TextBox 4"/>
        <xdr:cNvSpPr txBox="1">
          <a:spLocks noChangeArrowheads="1"/>
        </xdr:cNvSpPr>
      </xdr:nvSpPr>
      <xdr:spPr>
        <a:xfrm>
          <a:off x="0" y="533400"/>
          <a:ext cx="7496175" cy="6029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We can use some maths to calculate how a tail will furl, but first we need some measurements, 
and all measurements are in metric ( Conversion to imperial tables here ).
• Turbine Diameter in meters 
• Turbine offset from the mast axis in meters 
• Tail tip weight in kg 
• Tail length in meters 
• Wind Speed in meters per second 
You can measure the tail tip weight by placing the pivot end of the tail on a fulcrum ( block of wood ) and the tail end on a set of scales.
First we need to work out how much torque is trying to turn the windmill around the mast axis.
The turbine thrust or force can be worked out with -
Turbine Thrust = Diameter2 * WindSpeed2 / 24
Turbine Thrust = 2m2 * 20m2 / 24 = 66.6kg
The turbine moment ( torque ) is -
Turbine Moment ( kgM ) = Turbine Thrust x Turbine Offset
Say our turbine has a diameter of 2 meters, and we want it to start fuling in winds above 20 meters per second ( 72kmh ).
 Our mast offset is 0.1 meters ( 100mm ).
Turbine Moment = 66.6kg * 0.1m = 6.66kgM
So we need a tail moment of 6.66kgM to balance the turbine moment. 
Tail Moment = Tail Length * Furl resistance
and
Furl resistance = Tail Weight * Sin ( Pivot angle in degrees) * Sin 45o
Furl resistance = 20Kg * Sin20o * Sin 45o = 4.83 Kg
then
Tail Length = Tail Moment / Furl resistance
Tail Length = 6.66KgM/ 4.83Kg = 1.378M
So for our windmill to start furling at 72kmh, it needs a tail pivot angle of 200, a tail lenght of 1.378m and weight of 20kg.
Calculations: 
  Turbine Thrust = Diameter2 * WindSpeed2 / 24
  Turbine Moment = Turbine thrust x Turbine offset 
  Tail pivot angle = Sin-1 ( Turbine Moment / Tail Length / Sin 45o / Tail weight )
  Tail Length = Turbine Moment / Tail Weight / Sin ( Pivot angle in degrees ) / Sin 45o 
  Tail Weight = Turbine Moment / Length of tail / Sin ( Pivot angle in degrees ) / Sin 45o
Notes:
As well as the tail stop where the tail is pointing straight out the back, add a tail stop at the other end of the tails travel, 
this will stop the tail in extreme conditions going around so far that it hits the turbine blades.
 It does happen and has ruined many a good set of windmill blades.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219075</xdr:rowOff>
    </xdr:from>
    <xdr:to>
      <xdr:col>13</xdr:col>
      <xdr:colOff>381000</xdr:colOff>
      <xdr:row>16</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5114925" y="219075"/>
          <a:ext cx="3419475" cy="2552700"/>
        </a:xfrm>
        <a:prstGeom prst="rect">
          <a:avLst/>
        </a:prstGeom>
        <a:noFill/>
        <a:ln w="9525" cmpd="sng">
          <a:noFill/>
        </a:ln>
      </xdr:spPr>
    </xdr:pic>
    <xdr:clientData/>
  </xdr:twoCellAnchor>
  <xdr:twoCellAnchor editAs="oneCell">
    <xdr:from>
      <xdr:col>8</xdr:col>
      <xdr:colOff>9525</xdr:colOff>
      <xdr:row>17</xdr:row>
      <xdr:rowOff>19050</xdr:rowOff>
    </xdr:from>
    <xdr:to>
      <xdr:col>13</xdr:col>
      <xdr:colOff>419100</xdr:colOff>
      <xdr:row>29</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5114925" y="2943225"/>
          <a:ext cx="3457575" cy="208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hebackshed.com/Windmill/PropellerBlades.asp" TargetMode="Externa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2:E20"/>
  <sheetViews>
    <sheetView workbookViewId="0" topLeftCell="A1">
      <selection activeCell="C13" sqref="C13"/>
    </sheetView>
  </sheetViews>
  <sheetFormatPr defaultColWidth="9.140625" defaultRowHeight="12.75"/>
  <cols>
    <col min="1" max="1" width="1.8515625" style="0" customWidth="1"/>
    <col min="2" max="2" width="54.57421875" style="0" customWidth="1"/>
    <col min="3" max="3" width="12.140625" style="0" customWidth="1"/>
    <col min="4" max="4" width="12.7109375" style="0" customWidth="1"/>
    <col min="5" max="5" width="20.421875" style="0" customWidth="1"/>
  </cols>
  <sheetData>
    <row r="2" ht="18">
      <c r="B2" s="11" t="s">
        <v>11</v>
      </c>
    </row>
    <row r="4" spans="2:5" ht="13.5" thickBot="1">
      <c r="B4" s="7" t="s">
        <v>10</v>
      </c>
      <c r="C4" s="1" t="s">
        <v>9</v>
      </c>
      <c r="E4" s="68"/>
    </row>
    <row r="5" spans="2:5" s="3" customFormat="1" ht="16.5" thickBot="1" thickTop="1">
      <c r="B5" s="2" t="s">
        <v>0</v>
      </c>
      <c r="C5" s="6">
        <v>13</v>
      </c>
      <c r="E5" s="68"/>
    </row>
    <row r="6" spans="2:5" s="3" customFormat="1" ht="16.5" thickBot="1" thickTop="1">
      <c r="B6" s="2" t="s">
        <v>1</v>
      </c>
      <c r="C6" s="6">
        <v>12</v>
      </c>
      <c r="E6" s="68"/>
    </row>
    <row r="7" spans="2:5" s="3" customFormat="1" ht="16.5" thickBot="1" thickTop="1">
      <c r="B7" s="2" t="s">
        <v>2</v>
      </c>
      <c r="C7" s="15">
        <v>65</v>
      </c>
      <c r="E7" s="68"/>
    </row>
    <row r="8" spans="2:5" s="3" customFormat="1" ht="17.25" thickBot="1" thickTop="1">
      <c r="B8" s="2" t="s">
        <v>7</v>
      </c>
      <c r="C8" s="6">
        <v>140</v>
      </c>
      <c r="E8" s="70"/>
    </row>
    <row r="9" spans="2:5" s="3" customFormat="1" ht="16.5" thickBot="1" thickTop="1">
      <c r="B9" s="2" t="s">
        <v>3</v>
      </c>
      <c r="C9" s="6">
        <v>110</v>
      </c>
      <c r="E9" s="68"/>
    </row>
    <row r="10" spans="2:5" s="3" customFormat="1" ht="16.5" thickBot="1" thickTop="1">
      <c r="B10" s="2" t="s">
        <v>8</v>
      </c>
      <c r="C10" s="6">
        <v>0.5</v>
      </c>
      <c r="E10" s="69"/>
    </row>
    <row r="11" spans="2:5" s="3" customFormat="1" ht="16.5" thickBot="1" thickTop="1">
      <c r="B11" s="2" t="s">
        <v>13</v>
      </c>
      <c r="C11" s="6">
        <v>50</v>
      </c>
      <c r="E11" s="68"/>
    </row>
    <row r="12" spans="2:5" s="3" customFormat="1" ht="17.25" thickBot="1" thickTop="1">
      <c r="B12" s="2" t="s">
        <v>14</v>
      </c>
      <c r="C12" s="17">
        <v>1.2</v>
      </c>
      <c r="E12" s="70"/>
    </row>
    <row r="13" spans="2:5" s="3" customFormat="1" ht="15.75" thickTop="1">
      <c r="B13" s="2"/>
      <c r="C13" s="14"/>
      <c r="E13" s="68"/>
    </row>
    <row r="14" s="3" customFormat="1" ht="15">
      <c r="B14" s="2"/>
    </row>
    <row r="15" spans="2:3" s="3" customFormat="1" ht="15.75">
      <c r="B15" s="8" t="s">
        <v>4</v>
      </c>
      <c r="C15" s="9">
        <f>((2*C9*3.14*C8)/60)/1000</f>
        <v>1.611866666666667</v>
      </c>
    </row>
    <row r="16" spans="2:3" s="3" customFormat="1" ht="15.75">
      <c r="B16" s="8" t="s">
        <v>5</v>
      </c>
      <c r="C16" s="10">
        <f>C5/(C15*C10*(C11/1000)*C6)</f>
        <v>26.883944081396304</v>
      </c>
    </row>
    <row r="17" spans="2:3" s="3" customFormat="1" ht="15.75">
      <c r="B17" s="4"/>
      <c r="C17" s="5"/>
    </row>
    <row r="18" spans="2:3" s="3" customFormat="1" ht="15.75">
      <c r="B18" s="13" t="s">
        <v>6</v>
      </c>
      <c r="C18" s="16">
        <f>C15*C10*(C11/1000)*C7*C6</f>
        <v>31.43140000000001</v>
      </c>
    </row>
    <row r="19" spans="2:3" ht="15.75">
      <c r="B19" s="12" t="s">
        <v>12</v>
      </c>
      <c r="C19" s="18">
        <f>C10*C12*(C11/1000)*(C16*C6)*(C9/1000)</f>
        <v>1.0646041856232937</v>
      </c>
    </row>
    <row r="20" spans="2:3" ht="12.75">
      <c r="B20" s="24" t="s">
        <v>22</v>
      </c>
      <c r="C20" s="1">
        <f>C5*C12</f>
        <v>15.6</v>
      </c>
    </row>
  </sheetData>
  <printOptions/>
  <pageMargins left="0.7" right="0.18" top="1" bottom="1" header="0.5" footer="0.5"/>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2:P61"/>
  <sheetViews>
    <sheetView tabSelected="1" view="pageBreakPreview" zoomScaleSheetLayoutView="100" workbookViewId="0" topLeftCell="A1">
      <selection activeCell="L12" sqref="L12"/>
    </sheetView>
  </sheetViews>
  <sheetFormatPr defaultColWidth="9.140625" defaultRowHeight="12.75"/>
  <cols>
    <col min="1" max="1" width="11.421875" style="0" customWidth="1"/>
    <col min="2" max="4" width="9.140625" style="1" customWidth="1"/>
    <col min="5" max="5" width="1.28515625" style="1" customWidth="1"/>
    <col min="6" max="7" width="9.140625" style="1" customWidth="1"/>
    <col min="10" max="10" width="16.140625" style="0" customWidth="1"/>
    <col min="11" max="11" width="9.421875" style="0" customWidth="1"/>
  </cols>
  <sheetData>
    <row r="2" spans="1:15" ht="15.75">
      <c r="A2" s="105" t="s">
        <v>28</v>
      </c>
      <c r="B2" s="106"/>
      <c r="C2" s="106"/>
      <c r="D2" s="106"/>
      <c r="E2" s="106"/>
      <c r="F2" s="106"/>
      <c r="G2" s="106"/>
      <c r="H2" s="106"/>
      <c r="I2" s="106"/>
      <c r="J2" s="106"/>
      <c r="K2" s="106"/>
      <c r="L2" s="106"/>
      <c r="M2" s="106"/>
      <c r="N2" s="106"/>
      <c r="O2" s="106"/>
    </row>
    <row r="4" spans="2:8" ht="12.75">
      <c r="B4" s="110" t="s">
        <v>26</v>
      </c>
      <c r="C4" s="110"/>
      <c r="D4" s="110"/>
      <c r="F4" s="110" t="s">
        <v>27</v>
      </c>
      <c r="G4" s="111"/>
      <c r="H4" s="111"/>
    </row>
    <row r="5" spans="2:14" ht="25.5">
      <c r="B5" s="27" t="s">
        <v>23</v>
      </c>
      <c r="C5" s="27" t="s">
        <v>25</v>
      </c>
      <c r="D5" s="27" t="s">
        <v>24</v>
      </c>
      <c r="F5" s="27" t="s">
        <v>23</v>
      </c>
      <c r="G5" s="27" t="s">
        <v>25</v>
      </c>
      <c r="H5" s="27" t="s">
        <v>24</v>
      </c>
      <c r="I5" s="107" t="s">
        <v>29</v>
      </c>
      <c r="J5" s="103"/>
      <c r="K5" s="103"/>
      <c r="L5" s="103"/>
      <c r="M5" s="103"/>
      <c r="N5" s="103"/>
    </row>
    <row r="6" spans="2:16" ht="12.75">
      <c r="B6" s="25">
        <v>56</v>
      </c>
      <c r="C6" s="25">
        <v>14</v>
      </c>
      <c r="D6" s="25">
        <v>0</v>
      </c>
      <c r="F6" s="25">
        <v>75</v>
      </c>
      <c r="G6" s="25">
        <v>14</v>
      </c>
      <c r="H6" s="25">
        <v>6</v>
      </c>
      <c r="I6" s="108" t="s">
        <v>30</v>
      </c>
      <c r="J6" s="109"/>
      <c r="K6" s="109"/>
      <c r="L6" s="109" t="s">
        <v>32</v>
      </c>
      <c r="M6" s="109"/>
      <c r="N6" s="109"/>
      <c r="O6" s="109"/>
      <c r="P6" s="109"/>
    </row>
    <row r="7" spans="2:12" ht="12.75">
      <c r="B7" s="25">
        <v>62</v>
      </c>
      <c r="C7" s="25">
        <v>15.5</v>
      </c>
      <c r="D7" s="25">
        <v>0</v>
      </c>
      <c r="F7" s="25">
        <v>80</v>
      </c>
      <c r="G7" s="25">
        <v>14.4</v>
      </c>
      <c r="H7" s="25">
        <v>6.3</v>
      </c>
      <c r="I7" t="s">
        <v>31</v>
      </c>
      <c r="L7" t="s">
        <v>33</v>
      </c>
    </row>
    <row r="8" spans="2:8" ht="12.75">
      <c r="B8" s="25">
        <v>75</v>
      </c>
      <c r="C8" s="25">
        <v>18</v>
      </c>
      <c r="D8" s="25">
        <v>0</v>
      </c>
      <c r="F8" s="25">
        <v>84</v>
      </c>
      <c r="G8" s="25">
        <v>15</v>
      </c>
      <c r="H8" s="25">
        <v>6.4</v>
      </c>
    </row>
    <row r="9" spans="2:8" ht="12.75">
      <c r="B9" s="25">
        <v>85</v>
      </c>
      <c r="C9" s="25">
        <v>20</v>
      </c>
      <c r="D9" s="25">
        <v>0</v>
      </c>
      <c r="F9" s="25">
        <v>88</v>
      </c>
      <c r="G9" s="25">
        <v>16.4</v>
      </c>
      <c r="H9" s="25">
        <v>7.1</v>
      </c>
    </row>
    <row r="10" spans="2:8" ht="12.75">
      <c r="B10" s="25">
        <v>98</v>
      </c>
      <c r="C10" s="25">
        <v>24</v>
      </c>
      <c r="D10" s="25">
        <v>0</v>
      </c>
      <c r="F10" s="26">
        <v>100</v>
      </c>
      <c r="G10" s="26">
        <v>17.9</v>
      </c>
      <c r="H10" s="26">
        <v>7.8</v>
      </c>
    </row>
    <row r="11" spans="2:9" ht="12.75">
      <c r="B11" s="25">
        <v>110</v>
      </c>
      <c r="C11" s="25">
        <v>27</v>
      </c>
      <c r="D11" s="25">
        <v>0</v>
      </c>
      <c r="F11" s="28">
        <v>84</v>
      </c>
      <c r="G11" s="28">
        <v>15.5</v>
      </c>
      <c r="H11" s="29">
        <v>9.5</v>
      </c>
      <c r="I11" t="s">
        <v>35</v>
      </c>
    </row>
    <row r="12" spans="2:8" ht="12.75">
      <c r="B12" s="25">
        <v>116</v>
      </c>
      <c r="C12" s="25">
        <v>28.5</v>
      </c>
      <c r="D12" s="25">
        <v>0</v>
      </c>
      <c r="F12" s="28">
        <v>87</v>
      </c>
      <c r="G12" s="28">
        <v>13.7</v>
      </c>
      <c r="H12" s="29">
        <v>10.1</v>
      </c>
    </row>
    <row r="13" spans="2:4" ht="12.75">
      <c r="B13" s="25">
        <v>130</v>
      </c>
      <c r="C13" s="25">
        <v>31.5</v>
      </c>
      <c r="D13" s="25">
        <v>0</v>
      </c>
    </row>
    <row r="14" spans="2:4" ht="12.75">
      <c r="B14" s="26">
        <v>142</v>
      </c>
      <c r="C14" s="26">
        <v>35.5</v>
      </c>
      <c r="D14" s="26">
        <v>0</v>
      </c>
    </row>
    <row r="32" ht="12.75">
      <c r="A32" t="s">
        <v>34</v>
      </c>
    </row>
    <row r="34" spans="2:8" ht="36.75" customHeight="1">
      <c r="B34" s="103" t="s">
        <v>122</v>
      </c>
      <c r="C34" s="104"/>
      <c r="D34" s="72" t="s">
        <v>124</v>
      </c>
      <c r="F34" s="103" t="s">
        <v>121</v>
      </c>
      <c r="G34" s="104"/>
      <c r="H34" s="72" t="s">
        <v>123</v>
      </c>
    </row>
    <row r="35" spans="2:7" ht="12.75">
      <c r="B35" s="1" t="s">
        <v>119</v>
      </c>
      <c r="C35" s="1" t="s">
        <v>120</v>
      </c>
      <c r="F35" s="1" t="s">
        <v>119</v>
      </c>
      <c r="G35" s="1" t="s">
        <v>120</v>
      </c>
    </row>
    <row r="36" spans="2:7" ht="12.75">
      <c r="B36" s="1">
        <v>100</v>
      </c>
      <c r="C36" s="71">
        <f>B36*0.245</f>
        <v>24.5</v>
      </c>
      <c r="F36" s="1">
        <v>100</v>
      </c>
      <c r="G36" s="71">
        <f aca="true" t="shared" si="0" ref="G36:G42">F36*$H$54</f>
        <v>10.2857</v>
      </c>
    </row>
    <row r="37" spans="2:7" ht="12.75">
      <c r="B37" s="1">
        <v>150</v>
      </c>
      <c r="C37" s="71">
        <f aca="true" t="shared" si="1" ref="C37:C54">B37*0.245</f>
        <v>36.75</v>
      </c>
      <c r="F37" s="1">
        <v>150</v>
      </c>
      <c r="G37" s="71">
        <f t="shared" si="0"/>
        <v>15.428550000000001</v>
      </c>
    </row>
    <row r="38" spans="2:7" ht="12.75">
      <c r="B38" s="1">
        <v>200</v>
      </c>
      <c r="C38" s="71">
        <f t="shared" si="1"/>
        <v>49</v>
      </c>
      <c r="F38" s="1">
        <v>200</v>
      </c>
      <c r="G38" s="71">
        <f t="shared" si="0"/>
        <v>20.5714</v>
      </c>
    </row>
    <row r="39" spans="2:7" ht="12.75">
      <c r="B39" s="1">
        <v>250</v>
      </c>
      <c r="C39" s="71">
        <f t="shared" si="1"/>
        <v>61.25</v>
      </c>
      <c r="F39" s="1">
        <v>250</v>
      </c>
      <c r="G39" s="71">
        <f t="shared" si="0"/>
        <v>25.71425</v>
      </c>
    </row>
    <row r="40" spans="2:7" ht="12.75">
      <c r="B40" s="1">
        <v>300</v>
      </c>
      <c r="C40" s="71">
        <f t="shared" si="1"/>
        <v>73.5</v>
      </c>
      <c r="F40" s="1">
        <v>300</v>
      </c>
      <c r="G40" s="71">
        <f t="shared" si="0"/>
        <v>30.857100000000003</v>
      </c>
    </row>
    <row r="41" spans="2:9" ht="12.75">
      <c r="B41" s="1">
        <v>350</v>
      </c>
      <c r="C41" s="71">
        <f t="shared" si="1"/>
        <v>85.75</v>
      </c>
      <c r="F41" s="1">
        <v>350</v>
      </c>
      <c r="G41" s="71">
        <f t="shared" si="0"/>
        <v>35.99995</v>
      </c>
      <c r="H41">
        <v>36</v>
      </c>
      <c r="I41">
        <f>H41/F41</f>
        <v>0.10285714285714286</v>
      </c>
    </row>
    <row r="42" spans="2:7" ht="12.75">
      <c r="B42" s="1">
        <v>400</v>
      </c>
      <c r="C42" s="71">
        <f t="shared" si="1"/>
        <v>98</v>
      </c>
      <c r="F42" s="1">
        <v>400</v>
      </c>
      <c r="G42" s="71">
        <f t="shared" si="0"/>
        <v>41.1428</v>
      </c>
    </row>
    <row r="43" spans="2:7" ht="12.75">
      <c r="B43" s="1">
        <v>450</v>
      </c>
      <c r="C43" s="71">
        <f t="shared" si="1"/>
        <v>110.25</v>
      </c>
      <c r="F43" s="1">
        <v>450</v>
      </c>
      <c r="G43" s="71">
        <f aca="true" t="shared" si="2" ref="G43:G54">F43*$H$54</f>
        <v>46.285650000000004</v>
      </c>
    </row>
    <row r="44" spans="2:7" ht="12.75">
      <c r="B44" s="1">
        <v>500</v>
      </c>
      <c r="C44" s="71">
        <f t="shared" si="1"/>
        <v>122.5</v>
      </c>
      <c r="F44" s="1">
        <v>500</v>
      </c>
      <c r="G44" s="71">
        <f t="shared" si="2"/>
        <v>51.4285</v>
      </c>
    </row>
    <row r="45" spans="2:7" ht="12.75">
      <c r="B45" s="1">
        <v>550</v>
      </c>
      <c r="C45" s="71">
        <f t="shared" si="1"/>
        <v>134.75</v>
      </c>
      <c r="F45" s="1">
        <v>550</v>
      </c>
      <c r="G45" s="71">
        <f t="shared" si="2"/>
        <v>56.57135</v>
      </c>
    </row>
    <row r="46" spans="2:7" ht="12.75">
      <c r="B46" s="1">
        <v>600</v>
      </c>
      <c r="C46" s="71">
        <f t="shared" si="1"/>
        <v>147</v>
      </c>
      <c r="F46" s="1">
        <v>600</v>
      </c>
      <c r="G46" s="71">
        <f t="shared" si="2"/>
        <v>61.714200000000005</v>
      </c>
    </row>
    <row r="47" spans="2:7" ht="12.75">
      <c r="B47" s="1">
        <v>650</v>
      </c>
      <c r="C47" s="71">
        <f t="shared" si="1"/>
        <v>159.25</v>
      </c>
      <c r="F47" s="1">
        <v>650</v>
      </c>
      <c r="G47" s="71">
        <f t="shared" si="2"/>
        <v>66.85705</v>
      </c>
    </row>
    <row r="48" spans="2:7" ht="12.75">
      <c r="B48" s="1">
        <v>700</v>
      </c>
      <c r="C48" s="71">
        <f t="shared" si="1"/>
        <v>171.5</v>
      </c>
      <c r="F48" s="1">
        <v>700</v>
      </c>
      <c r="G48" s="71">
        <f t="shared" si="2"/>
        <v>71.9999</v>
      </c>
    </row>
    <row r="49" spans="2:7" ht="12.75">
      <c r="B49" s="1">
        <v>750</v>
      </c>
      <c r="C49" s="71">
        <f t="shared" si="1"/>
        <v>183.75</v>
      </c>
      <c r="F49" s="1">
        <v>750</v>
      </c>
      <c r="G49" s="71">
        <f t="shared" si="2"/>
        <v>77.14275</v>
      </c>
    </row>
    <row r="50" spans="2:7" ht="12.75">
      <c r="B50" s="1">
        <v>800</v>
      </c>
      <c r="C50" s="71">
        <f t="shared" si="1"/>
        <v>196</v>
      </c>
      <c r="F50" s="1">
        <v>800</v>
      </c>
      <c r="G50" s="71">
        <f t="shared" si="2"/>
        <v>82.2856</v>
      </c>
    </row>
    <row r="51" spans="2:7" ht="12.75">
      <c r="B51" s="1">
        <v>850</v>
      </c>
      <c r="C51" s="71">
        <f t="shared" si="1"/>
        <v>208.25</v>
      </c>
      <c r="F51" s="1">
        <v>850</v>
      </c>
      <c r="G51" s="71">
        <f t="shared" si="2"/>
        <v>87.42845</v>
      </c>
    </row>
    <row r="52" spans="2:7" ht="12.75">
      <c r="B52" s="1">
        <v>900</v>
      </c>
      <c r="C52" s="71">
        <f t="shared" si="1"/>
        <v>220.5</v>
      </c>
      <c r="F52" s="1">
        <v>900</v>
      </c>
      <c r="G52" s="71">
        <f t="shared" si="2"/>
        <v>92.57130000000001</v>
      </c>
    </row>
    <row r="53" spans="2:7" ht="12.75">
      <c r="B53" s="1">
        <v>950</v>
      </c>
      <c r="C53" s="71">
        <f t="shared" si="1"/>
        <v>232.75</v>
      </c>
      <c r="F53" s="1">
        <v>950</v>
      </c>
      <c r="G53" s="71">
        <f t="shared" si="2"/>
        <v>97.71415</v>
      </c>
    </row>
    <row r="54" spans="2:11" ht="12.75">
      <c r="B54" s="1">
        <v>1000</v>
      </c>
      <c r="C54" s="71">
        <f t="shared" si="1"/>
        <v>245</v>
      </c>
      <c r="F54" s="1">
        <v>1000</v>
      </c>
      <c r="G54" s="71">
        <f t="shared" si="2"/>
        <v>102.857</v>
      </c>
      <c r="H54">
        <v>0.102857</v>
      </c>
      <c r="J54" s="75" t="s">
        <v>125</v>
      </c>
      <c r="K54" s="76">
        <v>2.4</v>
      </c>
    </row>
    <row r="55" spans="10:11" ht="12.75">
      <c r="J55" s="75" t="s">
        <v>126</v>
      </c>
      <c r="K55" s="76">
        <v>3</v>
      </c>
    </row>
    <row r="56" spans="10:11" ht="12.75">
      <c r="J56" s="75" t="s">
        <v>127</v>
      </c>
      <c r="K56" s="76">
        <v>1.225</v>
      </c>
    </row>
    <row r="57" spans="10:11" ht="12.75">
      <c r="J57" s="75" t="s">
        <v>128</v>
      </c>
      <c r="K57" s="77">
        <f>(0.5*K54)*(0.5*K54)*3.14</f>
        <v>4.5216</v>
      </c>
    </row>
    <row r="58" spans="10:11" ht="12.75">
      <c r="J58" s="75" t="s">
        <v>129</v>
      </c>
      <c r="K58" s="78">
        <f>0.5*K56*K57*K55*K55*K55</f>
        <v>74.77596000000001</v>
      </c>
    </row>
    <row r="59" spans="10:12" ht="12.75">
      <c r="J59" s="75" t="s">
        <v>130</v>
      </c>
      <c r="K59" s="79">
        <v>0.59</v>
      </c>
      <c r="L59" s="80">
        <v>0.3</v>
      </c>
    </row>
    <row r="60" spans="10:12" ht="15.75">
      <c r="J60" s="81" t="s">
        <v>129</v>
      </c>
      <c r="K60" s="82">
        <f>K58*K59</f>
        <v>44.1178164</v>
      </c>
      <c r="L60" s="83">
        <f>K60*30/100</f>
        <v>13.23534492</v>
      </c>
    </row>
    <row r="61" spans="10:11" ht="18">
      <c r="J61" s="84" t="s">
        <v>131</v>
      </c>
      <c r="K61" s="85">
        <f>L60</f>
        <v>13.23534492</v>
      </c>
    </row>
  </sheetData>
  <mergeCells count="8">
    <mergeCell ref="F34:G34"/>
    <mergeCell ref="B34:C34"/>
    <mergeCell ref="A2:O2"/>
    <mergeCell ref="I5:N5"/>
    <mergeCell ref="I6:K6"/>
    <mergeCell ref="L6:P6"/>
    <mergeCell ref="F4:H4"/>
    <mergeCell ref="B4:D4"/>
  </mergeCells>
  <printOptions/>
  <pageMargins left="0.2" right="0.19" top="1" bottom="1" header="0.5" footer="0.5"/>
  <pageSetup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dimension ref="C43:H52"/>
  <sheetViews>
    <sheetView workbookViewId="0" topLeftCell="A25">
      <selection activeCell="D45" sqref="D45"/>
    </sheetView>
  </sheetViews>
  <sheetFormatPr defaultColWidth="9.140625" defaultRowHeight="12.75"/>
  <cols>
    <col min="3" max="3" width="22.7109375" style="0" customWidth="1"/>
    <col min="5" max="5" width="0" style="0" hidden="1" customWidth="1"/>
    <col min="6" max="6" width="19.421875" style="0" customWidth="1"/>
  </cols>
  <sheetData>
    <row r="43" spans="3:7" ht="12.75">
      <c r="C43" t="s">
        <v>87</v>
      </c>
      <c r="D43" s="48">
        <v>2.4</v>
      </c>
      <c r="E43" s="49"/>
      <c r="F43" s="73" t="s">
        <v>98</v>
      </c>
      <c r="G43" s="74">
        <f>D49/D45/E50/E51</f>
        <v>0.9923721207448252</v>
      </c>
    </row>
    <row r="44" spans="3:7" ht="12.75">
      <c r="C44" t="s">
        <v>88</v>
      </c>
      <c r="D44">
        <v>0.1</v>
      </c>
      <c r="F44" s="73" t="s">
        <v>89</v>
      </c>
      <c r="G44" s="73">
        <f>D49/G43/E50/E51</f>
        <v>9.999999999999998</v>
      </c>
    </row>
    <row r="45" spans="3:4" ht="12.75">
      <c r="C45" t="s">
        <v>89</v>
      </c>
      <c r="D45" s="48">
        <v>10</v>
      </c>
    </row>
    <row r="46" spans="3:4" ht="12.75">
      <c r="C46" t="s">
        <v>90</v>
      </c>
      <c r="D46" s="19">
        <f>D49/D52</f>
        <v>0.9923721207448252</v>
      </c>
    </row>
    <row r="47" spans="3:4" ht="12.75">
      <c r="C47" t="s">
        <v>91</v>
      </c>
      <c r="D47" s="48">
        <v>10</v>
      </c>
    </row>
    <row r="48" spans="3:4" ht="12.75">
      <c r="C48" t="s">
        <v>92</v>
      </c>
      <c r="D48" s="50">
        <f>(D43*D43)*(D47*D47)/24</f>
        <v>24</v>
      </c>
    </row>
    <row r="49" spans="3:4" ht="12.75">
      <c r="C49" t="s">
        <v>93</v>
      </c>
      <c r="D49" s="19">
        <f>D48*D44</f>
        <v>2.4000000000000004</v>
      </c>
    </row>
    <row r="50" spans="3:5" ht="12.75">
      <c r="C50" t="s">
        <v>95</v>
      </c>
      <c r="D50" s="48">
        <v>20</v>
      </c>
      <c r="E50">
        <f>SIN(D50*PI()/180)</f>
        <v>0.3420201433256687</v>
      </c>
    </row>
    <row r="51" spans="3:8" ht="12.75">
      <c r="C51" t="s">
        <v>97</v>
      </c>
      <c r="D51" s="48">
        <v>45</v>
      </c>
      <c r="E51">
        <f>SIN(D51*PI()/180)</f>
        <v>0.7071067811865475</v>
      </c>
      <c r="H51" t="s">
        <v>96</v>
      </c>
    </row>
    <row r="52" spans="3:4" ht="12.75">
      <c r="C52" t="s">
        <v>94</v>
      </c>
      <c r="D52" s="19">
        <f>D45*E50*E51</f>
        <v>2.418447626479752</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8"/>
  </sheetPr>
  <dimension ref="A3:I57"/>
  <sheetViews>
    <sheetView view="pageBreakPreview" zoomScaleSheetLayoutView="100" workbookViewId="0" topLeftCell="A38">
      <selection activeCell="B49" sqref="B49"/>
    </sheetView>
  </sheetViews>
  <sheetFormatPr defaultColWidth="9.140625" defaultRowHeight="12.75"/>
  <cols>
    <col min="1" max="1" width="3.8515625" style="0" customWidth="1"/>
    <col min="2" max="2" width="45.140625" style="0" customWidth="1"/>
    <col min="3" max="3" width="9.140625" style="19" customWidth="1"/>
    <col min="6" max="6" width="28.00390625" style="0" customWidth="1"/>
    <col min="10" max="10" width="1.7109375" style="0" customWidth="1"/>
  </cols>
  <sheetData>
    <row r="3" ht="12.75">
      <c r="B3" s="22" t="s">
        <v>18</v>
      </c>
    </row>
    <row r="4" ht="13.5" thickBot="1"/>
    <row r="5" spans="2:7" ht="14.25" thickBot="1" thickTop="1">
      <c r="B5" t="s">
        <v>17</v>
      </c>
      <c r="C5" s="20">
        <v>900</v>
      </c>
      <c r="D5" s="112" t="s">
        <v>20</v>
      </c>
      <c r="E5" s="109"/>
      <c r="F5" s="109"/>
      <c r="G5" s="23">
        <f>C5*1.25</f>
        <v>1125</v>
      </c>
    </row>
    <row r="6" spans="2:7" ht="14.25" thickBot="1" thickTop="1">
      <c r="B6" t="s">
        <v>16</v>
      </c>
      <c r="C6" s="21">
        <f>C5*0.4</f>
        <v>360</v>
      </c>
      <c r="D6" s="112" t="s">
        <v>21</v>
      </c>
      <c r="E6" s="109"/>
      <c r="F6" s="109"/>
      <c r="G6" s="23">
        <f>C7*3.14+C8</f>
        <v>540.5625</v>
      </c>
    </row>
    <row r="7" spans="2:3" ht="14.25" thickBot="1" thickTop="1">
      <c r="B7" t="s">
        <v>15</v>
      </c>
      <c r="C7" s="21">
        <f>C5*0.1875/2</f>
        <v>84.375</v>
      </c>
    </row>
    <row r="8" spans="2:3" ht="14.25" thickBot="1" thickTop="1">
      <c r="B8" t="s">
        <v>19</v>
      </c>
      <c r="C8" s="21">
        <f>C6-C7</f>
        <v>275.625</v>
      </c>
    </row>
    <row r="9" ht="13.5" thickTop="1"/>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4" spans="1:9" ht="12.75">
      <c r="A44" s="101"/>
      <c r="B44" s="101" t="s">
        <v>132</v>
      </c>
      <c r="C44" s="102"/>
      <c r="D44" s="102"/>
      <c r="E44" s="102"/>
      <c r="F44" s="102"/>
      <c r="G44" s="102"/>
      <c r="H44" s="102"/>
      <c r="I44" s="102"/>
    </row>
    <row r="45" spans="1:9" ht="12.75">
      <c r="A45" s="101"/>
      <c r="B45" s="101" t="s">
        <v>133</v>
      </c>
      <c r="C45" s="102"/>
      <c r="D45" s="102"/>
      <c r="E45" s="102"/>
      <c r="F45" s="102"/>
      <c r="G45" s="102"/>
      <c r="H45" s="102"/>
      <c r="I45" s="102"/>
    </row>
    <row r="46" spans="1:9" ht="12.75">
      <c r="A46" s="101"/>
      <c r="B46" s="101" t="s">
        <v>148</v>
      </c>
      <c r="C46" s="102"/>
      <c r="D46" s="102"/>
      <c r="E46" s="102"/>
      <c r="F46" s="102"/>
      <c r="G46" s="102"/>
      <c r="H46" s="102"/>
      <c r="I46" s="102"/>
    </row>
    <row r="47" spans="1:9" ht="15.75">
      <c r="A47" s="86"/>
      <c r="B47" s="87" t="s">
        <v>142</v>
      </c>
      <c r="C47" s="87"/>
      <c r="D47" s="87"/>
      <c r="E47" s="87"/>
      <c r="F47" s="87"/>
      <c r="G47" s="87"/>
      <c r="H47" s="87"/>
      <c r="I47" s="87"/>
    </row>
    <row r="48" spans="1:9" ht="15.75">
      <c r="A48" s="86"/>
      <c r="B48" s="87"/>
      <c r="C48" s="87"/>
      <c r="D48" s="87"/>
      <c r="E48" s="87"/>
      <c r="F48" s="87"/>
      <c r="G48" s="87"/>
      <c r="H48" s="87"/>
      <c r="I48" s="87"/>
    </row>
    <row r="49" spans="1:9" ht="15.75">
      <c r="A49" s="86"/>
      <c r="B49" s="87"/>
      <c r="C49" s="87"/>
      <c r="D49" s="87"/>
      <c r="E49" s="87"/>
      <c r="F49" s="87"/>
      <c r="G49" s="87"/>
      <c r="H49" s="87"/>
      <c r="I49" s="87"/>
    </row>
    <row r="50" spans="1:9" ht="15.75">
      <c r="A50" s="86"/>
      <c r="B50" s="87"/>
      <c r="C50" s="87"/>
      <c r="D50" s="87"/>
      <c r="E50" s="87"/>
      <c r="F50" s="87"/>
      <c r="G50" s="87"/>
      <c r="H50" s="87"/>
      <c r="I50" s="87"/>
    </row>
    <row r="51" spans="1:9" ht="30" customHeight="1">
      <c r="A51" s="88"/>
      <c r="B51" s="89" t="s">
        <v>146</v>
      </c>
      <c r="C51" s="90"/>
      <c r="D51" s="87"/>
      <c r="E51" s="87"/>
      <c r="F51" s="94" t="s">
        <v>147</v>
      </c>
      <c r="G51" s="95"/>
      <c r="H51" s="96"/>
      <c r="I51" s="96"/>
    </row>
    <row r="52" spans="2:9" ht="12.75">
      <c r="B52" s="91" t="s">
        <v>134</v>
      </c>
      <c r="C52" s="100">
        <v>15</v>
      </c>
      <c r="D52" s="99">
        <f>C52*0.4474</f>
        <v>6.711</v>
      </c>
      <c r="E52" s="99" t="s">
        <v>138</v>
      </c>
      <c r="F52" s="91" t="s">
        <v>137</v>
      </c>
      <c r="G52" s="100">
        <v>63.27</v>
      </c>
      <c r="H52" s="97"/>
      <c r="I52" s="97"/>
    </row>
    <row r="53" spans="2:9" ht="12.75">
      <c r="B53" s="91" t="s">
        <v>135</v>
      </c>
      <c r="C53" s="100">
        <v>4</v>
      </c>
      <c r="D53" s="99">
        <f>C53*0.3048</f>
        <v>1.2192</v>
      </c>
      <c r="E53" s="99" t="s">
        <v>139</v>
      </c>
      <c r="F53" s="91" t="s">
        <v>140</v>
      </c>
      <c r="G53" s="100">
        <v>15</v>
      </c>
      <c r="H53" s="93">
        <f>G53*0.4474</f>
        <v>6.711</v>
      </c>
      <c r="I53" s="98" t="s">
        <v>138</v>
      </c>
    </row>
    <row r="54" spans="2:9" ht="12.75">
      <c r="B54" s="91" t="s">
        <v>136</v>
      </c>
      <c r="C54" s="100">
        <v>3</v>
      </c>
      <c r="D54" s="99">
        <f>C54*0.3048</f>
        <v>0.9144000000000001</v>
      </c>
      <c r="E54" s="99" t="s">
        <v>139</v>
      </c>
      <c r="F54" s="92" t="s">
        <v>145</v>
      </c>
      <c r="G54" s="93">
        <f>G52/(0.00508*(G53*G53*G53)*(0.75*0.41))</f>
        <v>12.000938907026867</v>
      </c>
      <c r="H54" s="93">
        <f>G54*0.09290304</f>
        <v>1.1149237073170735</v>
      </c>
      <c r="I54" s="98" t="s">
        <v>141</v>
      </c>
    </row>
    <row r="55" spans="2:9" ht="12.75">
      <c r="B55" s="92" t="s">
        <v>137</v>
      </c>
      <c r="C55" s="93">
        <f>0.00508*((C53*C54)*(C52*C52*C52)*(0.41*0.75))</f>
        <v>63.26505</v>
      </c>
      <c r="F55" s="92" t="s">
        <v>135</v>
      </c>
      <c r="G55" s="93">
        <f>G54/3</f>
        <v>4.000312969008956</v>
      </c>
      <c r="H55" s="93">
        <f>G55*0.3048</f>
        <v>1.2192953929539299</v>
      </c>
      <c r="I55" s="98" t="s">
        <v>139</v>
      </c>
    </row>
    <row r="56" spans="2:9" ht="12.75">
      <c r="B56" s="92" t="s">
        <v>143</v>
      </c>
      <c r="C56" s="93">
        <f>$C$52*88/($C$54*3.14)*0.8</f>
        <v>112.1019108280255</v>
      </c>
      <c r="F56" s="92" t="s">
        <v>136</v>
      </c>
      <c r="G56" s="93">
        <f>G54/4</f>
        <v>3.000234726756717</v>
      </c>
      <c r="H56" s="93">
        <f>G56*0.3048</f>
        <v>0.9144715447154473</v>
      </c>
      <c r="I56" s="98" t="s">
        <v>139</v>
      </c>
    </row>
    <row r="57" spans="2:3" ht="12.75">
      <c r="B57" s="92" t="s">
        <v>144</v>
      </c>
      <c r="C57" s="93">
        <f>$C$52*88/($C$54*3.14)*1.6</f>
        <v>224.203821656051</v>
      </c>
    </row>
  </sheetData>
  <mergeCells count="2">
    <mergeCell ref="D5:F5"/>
    <mergeCell ref="D6:F6"/>
  </mergeCells>
  <printOptions/>
  <pageMargins left="0.24" right="0.2" top="0.26" bottom="0.63" header="0.22" footer="0.45"/>
  <pageSetup horizontalDpi="600" verticalDpi="600" orientation="landscape" paperSize="9" scale="98" r:id="rId5"/>
  <rowBreaks count="1" manualBreakCount="1">
    <brk id="43" max="8" man="1"/>
  </rowBreaks>
  <legacyDrawing r:id="rId4"/>
  <oleObjects>
    <oleObject progId="Visio.Drawing.11" shapeId="172018" r:id="rId1"/>
    <oleObject progId="Visio.Drawing.11" shapeId="176160" r:id="rId2"/>
    <oleObject progId="Visio.Drawing.11" shapeId="260226" r:id="rId3"/>
  </oleObjects>
</worksheet>
</file>

<file path=xl/worksheets/sheet5.xml><?xml version="1.0" encoding="utf-8"?>
<worksheet xmlns="http://schemas.openxmlformats.org/spreadsheetml/2006/main" xmlns:r="http://schemas.openxmlformats.org/officeDocument/2006/relationships">
  <dimension ref="B1:K26"/>
  <sheetViews>
    <sheetView workbookViewId="0" topLeftCell="A1">
      <selection activeCell="H6" sqref="H6"/>
    </sheetView>
  </sheetViews>
  <sheetFormatPr defaultColWidth="9.140625" defaultRowHeight="12.75"/>
  <cols>
    <col min="1" max="1" width="7.7109375" style="0" customWidth="1"/>
    <col min="2" max="2" width="6.7109375" style="0" customWidth="1"/>
    <col min="3" max="3" width="16.421875" style="0" customWidth="1"/>
  </cols>
  <sheetData>
    <row r="1" ht="25.5">
      <c r="B1" s="51" t="s">
        <v>99</v>
      </c>
    </row>
    <row r="2" ht="13.5" thickBot="1"/>
    <row r="3" spans="2:7" ht="12.75">
      <c r="B3" s="52"/>
      <c r="C3" s="53"/>
      <c r="D3" s="53"/>
      <c r="E3" s="53"/>
      <c r="F3" s="53"/>
      <c r="G3" s="54"/>
    </row>
    <row r="4" spans="2:7" ht="12.75">
      <c r="B4" s="55"/>
      <c r="C4" s="56" t="s">
        <v>100</v>
      </c>
      <c r="D4" s="57">
        <v>5</v>
      </c>
      <c r="E4" s="56" t="s">
        <v>101</v>
      </c>
      <c r="F4" s="56"/>
      <c r="G4" s="58"/>
    </row>
    <row r="5" spans="2:7" ht="12.75">
      <c r="B5" s="55"/>
      <c r="C5" s="56" t="s">
        <v>102</v>
      </c>
      <c r="D5" s="57">
        <v>6</v>
      </c>
      <c r="E5" s="56"/>
      <c r="F5" s="56"/>
      <c r="G5" s="58"/>
    </row>
    <row r="6" spans="2:7" ht="12.75">
      <c r="B6" s="55"/>
      <c r="C6" s="56" t="s">
        <v>103</v>
      </c>
      <c r="D6" s="57">
        <v>1200</v>
      </c>
      <c r="E6" s="56" t="s">
        <v>104</v>
      </c>
      <c r="F6" s="56"/>
      <c r="G6" s="58"/>
    </row>
    <row r="7" spans="2:7" ht="12.75">
      <c r="B7" s="55"/>
      <c r="C7" s="56" t="s">
        <v>105</v>
      </c>
      <c r="D7" s="57">
        <v>3</v>
      </c>
      <c r="E7" s="56"/>
      <c r="F7" s="56"/>
      <c r="G7" s="58"/>
    </row>
    <row r="8" spans="2:7" ht="12.75">
      <c r="B8" s="55"/>
      <c r="C8" s="56"/>
      <c r="D8" s="56"/>
      <c r="E8" s="56"/>
      <c r="F8" s="56"/>
      <c r="G8" s="58"/>
    </row>
    <row r="9" spans="2:7" ht="12.75">
      <c r="B9" s="55"/>
      <c r="C9" s="56"/>
      <c r="D9" s="56"/>
      <c r="E9" s="56"/>
      <c r="F9" s="56"/>
      <c r="G9" s="58"/>
    </row>
    <row r="10" spans="2:7" ht="12.75">
      <c r="B10" s="55"/>
      <c r="C10" s="59" t="s">
        <v>106</v>
      </c>
      <c r="D10" s="59" t="s">
        <v>107</v>
      </c>
      <c r="E10" s="59" t="s">
        <v>108</v>
      </c>
      <c r="F10" s="59" t="s">
        <v>109</v>
      </c>
      <c r="G10" s="58"/>
    </row>
    <row r="11" spans="2:7" ht="12.75">
      <c r="B11" s="55">
        <v>100</v>
      </c>
      <c r="C11" s="60">
        <f>(16*3.14*D6*(D6/B11))/(9*D5*D5*D7)</f>
        <v>744.2962962962963</v>
      </c>
      <c r="D11" s="60">
        <f>(ATAN(2*D6/3/D5/B11))*57.3-D4</f>
        <v>48.13401599149238</v>
      </c>
      <c r="E11" s="60">
        <f aca="true" t="shared" si="0" ref="E11:E22">COS(D11/57.3)*C11</f>
        <v>496.77060917348587</v>
      </c>
      <c r="F11" s="60">
        <f aca="true" t="shared" si="1" ref="F11:F22">SIN(D11/57.3)*C11</f>
        <v>554.2525945286931</v>
      </c>
      <c r="G11" s="58"/>
    </row>
    <row r="12" spans="2:11" ht="12.75">
      <c r="B12" s="55">
        <v>200</v>
      </c>
      <c r="C12" s="60">
        <f>(16*3.14*D6*(D6/B12))/(9*D5*D5*D7)</f>
        <v>372.14814814814815</v>
      </c>
      <c r="D12" s="60">
        <f>(ATAN(2*D6/3/D5/B12))*57.3-D4</f>
        <v>28.692549183275624</v>
      </c>
      <c r="E12" s="60">
        <f t="shared" si="0"/>
        <v>326.45814811236284</v>
      </c>
      <c r="F12" s="60">
        <f t="shared" si="1"/>
        <v>178.65979318565937</v>
      </c>
      <c r="G12" s="58"/>
      <c r="K12" s="61"/>
    </row>
    <row r="13" spans="2:7" ht="12.75">
      <c r="B13" s="55">
        <v>300</v>
      </c>
      <c r="C13" s="60">
        <f>(16*3.14*D6*(D6/B13))/(9*D5*D5*D7)</f>
        <v>248.09876543209876</v>
      </c>
      <c r="D13" s="60">
        <f>(ATAN(2*D6/3/D5/B13))*57.3-D4</f>
        <v>18.964254084889827</v>
      </c>
      <c r="E13" s="60">
        <f t="shared" si="0"/>
        <v>234.63430420548943</v>
      </c>
      <c r="F13" s="60">
        <f t="shared" si="1"/>
        <v>80.62096935002339</v>
      </c>
      <c r="G13" s="58"/>
    </row>
    <row r="14" spans="2:7" ht="12.75">
      <c r="B14" s="55">
        <v>400</v>
      </c>
      <c r="C14" s="60">
        <f>(16*3.14*D6*(D6/B14))/(9*D5*D5*D7)</f>
        <v>186.07407407407408</v>
      </c>
      <c r="D14" s="60">
        <f>(ATAN(2*D6/3/D5/B14))*57.3-D4</f>
        <v>13.4363067669276</v>
      </c>
      <c r="E14" s="60">
        <f t="shared" si="0"/>
        <v>180.98175587472105</v>
      </c>
      <c r="F14" s="60">
        <f t="shared" si="1"/>
        <v>43.23384187215937</v>
      </c>
      <c r="G14" s="58"/>
    </row>
    <row r="15" spans="2:7" ht="12.75">
      <c r="B15" s="55">
        <v>500</v>
      </c>
      <c r="C15" s="60">
        <f>(16*3.14*D6*(D6/B15))/(9*D5*D5*D7)</f>
        <v>148.85925925925923</v>
      </c>
      <c r="D15" s="60">
        <f>(ATAN(2*D6/3/D5/B15))*57.3-D4</f>
        <v>9.932517047122635</v>
      </c>
      <c r="E15" s="60">
        <f t="shared" si="0"/>
        <v>146.62842388824592</v>
      </c>
      <c r="F15" s="60">
        <f t="shared" si="1"/>
        <v>25.674586175131104</v>
      </c>
      <c r="G15" s="58"/>
    </row>
    <row r="16" spans="2:7" ht="12.75">
      <c r="B16" s="55">
        <v>600</v>
      </c>
      <c r="C16" s="60">
        <f>(16*3.14*D6*(D6/B16))/(9*D5*D5*D7)</f>
        <v>124.04938271604938</v>
      </c>
      <c r="D16" s="60">
        <f>(ATAN(2*D6/3/D5/B16))*57.3-D4</f>
        <v>7.529730598576874</v>
      </c>
      <c r="E16" s="60">
        <f t="shared" si="0"/>
        <v>122.97986201847695</v>
      </c>
      <c r="F16" s="60">
        <f t="shared" si="1"/>
        <v>16.25431912290579</v>
      </c>
      <c r="G16" s="58"/>
    </row>
    <row r="17" spans="2:7" ht="12.75">
      <c r="B17" s="55">
        <v>700</v>
      </c>
      <c r="C17" s="60">
        <f>(16*3.14*D6*(D6/B17))/(9*D5*D5*D7)</f>
        <v>106.32804232804232</v>
      </c>
      <c r="D17" s="60">
        <f>(ATAN(2*D6/3/D5/B17))*57.3-D4</f>
        <v>5.785092253963365</v>
      </c>
      <c r="E17" s="60">
        <f t="shared" si="0"/>
        <v>105.78659000667493</v>
      </c>
      <c r="F17" s="60">
        <f t="shared" si="1"/>
        <v>10.716807363838505</v>
      </c>
      <c r="G17" s="58"/>
    </row>
    <row r="18" spans="2:7" ht="12.75">
      <c r="B18" s="55">
        <v>800</v>
      </c>
      <c r="C18" s="60">
        <f>(16*3.14*D6*(D6/B18))/(9*D5*D5*D7)</f>
        <v>93.03703703703704</v>
      </c>
      <c r="D18" s="60">
        <f>(ATAN(2*D6/3/D5/B18))*57.3-D4</f>
        <v>4.463019215858118</v>
      </c>
      <c r="E18" s="60">
        <f t="shared" si="0"/>
        <v>92.75496854639165</v>
      </c>
      <c r="F18" s="60">
        <f t="shared" si="1"/>
        <v>7.239203726163243</v>
      </c>
      <c r="G18" s="58"/>
    </row>
    <row r="19" spans="2:7" ht="12.75">
      <c r="B19" s="55">
        <v>900</v>
      </c>
      <c r="C19" s="60">
        <f>(16*3.14*D6*(D6/B19))/(9*D5*D5*D7)</f>
        <v>82.69958847736625</v>
      </c>
      <c r="D19" s="60">
        <f>(ATAN(2*D6/3/D5/B19))*57.3-D4</f>
        <v>3.4275897637554635</v>
      </c>
      <c r="E19" s="60">
        <f t="shared" si="0"/>
        <v>82.55167345660044</v>
      </c>
      <c r="F19" s="60">
        <f t="shared" si="1"/>
        <v>4.944000792934609</v>
      </c>
      <c r="G19" s="58"/>
    </row>
    <row r="20" spans="2:7" ht="12.75">
      <c r="B20" s="55">
        <v>1000</v>
      </c>
      <c r="C20" s="60">
        <f>(16*3.14*D6*(D6/B20))/(9*D5*D5*D7)</f>
        <v>74.42962962962962</v>
      </c>
      <c r="D20" s="60">
        <f>(ATAN(2*D6/3/D5/B20))*57.3-D4</f>
        <v>2.595202800599421</v>
      </c>
      <c r="E20" s="60">
        <f t="shared" si="0"/>
        <v>74.35330319435775</v>
      </c>
      <c r="F20" s="60">
        <f t="shared" si="1"/>
        <v>3.3698769846611456</v>
      </c>
      <c r="G20" s="58"/>
    </row>
    <row r="21" spans="2:7" ht="12.75">
      <c r="B21" s="55">
        <v>1100</v>
      </c>
      <c r="C21" s="60">
        <f>(16*3.14*D6*(D6/B21))/(9*D5*D5*D7)</f>
        <v>67.66329966329965</v>
      </c>
      <c r="D21" s="60">
        <f>(ATAN(2*D6/3/D5/B21))*57.3-D4</f>
        <v>1.9117362096398853</v>
      </c>
      <c r="E21" s="60">
        <f t="shared" si="0"/>
        <v>67.62564406266331</v>
      </c>
      <c r="F21" s="60">
        <f t="shared" si="1"/>
        <v>2.2570747518542076</v>
      </c>
      <c r="G21" s="58"/>
    </row>
    <row r="22" spans="2:7" ht="12.75">
      <c r="B22" s="55">
        <v>1200</v>
      </c>
      <c r="C22" s="60">
        <f>(16*3.14*D6*(D6/B22))/(9*D5*D5*D7)</f>
        <v>62.02469135802469</v>
      </c>
      <c r="D22" s="60">
        <f>(ATAN(2*D6/3/D5/B22))*57.3-D4</f>
        <v>1.3406587732642201</v>
      </c>
      <c r="E22" s="60">
        <f t="shared" si="0"/>
        <v>62.00771509602628</v>
      </c>
      <c r="F22" s="60">
        <f t="shared" si="1"/>
        <v>1.451070855698232</v>
      </c>
      <c r="G22" s="58"/>
    </row>
    <row r="23" spans="2:10" ht="13.5" thickBot="1">
      <c r="B23" s="62"/>
      <c r="C23" s="63"/>
      <c r="D23" s="63"/>
      <c r="E23" s="63"/>
      <c r="F23" s="63"/>
      <c r="G23" s="64"/>
      <c r="J23" s="65"/>
    </row>
    <row r="25" ht="12.75">
      <c r="B25" t="s">
        <v>110</v>
      </c>
    </row>
    <row r="26" ht="12.75">
      <c r="C26" s="66" t="s">
        <v>111</v>
      </c>
    </row>
  </sheetData>
  <hyperlinks>
    <hyperlink ref="C26" r:id="rId1" display="http://www.thebackshed.com/Windmill/PropellerBlades.asp"/>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dimension ref="A1:D44"/>
  <sheetViews>
    <sheetView workbookViewId="0" topLeftCell="B1">
      <selection activeCell="D11" sqref="D11"/>
    </sheetView>
  </sheetViews>
  <sheetFormatPr defaultColWidth="9.140625" defaultRowHeight="12.75"/>
  <cols>
    <col min="1" max="1" width="80.28125" style="30" customWidth="1"/>
    <col min="2" max="2" width="26.8515625" style="30" customWidth="1"/>
    <col min="3" max="3" width="9.140625" style="30" customWidth="1"/>
    <col min="4" max="4" width="14.57421875" style="30" customWidth="1"/>
    <col min="5" max="16384" width="9.140625" style="30" customWidth="1"/>
  </cols>
  <sheetData>
    <row r="1" ht="12">
      <c r="A1" s="31"/>
    </row>
    <row r="2" spans="1:4" ht="35.25" customHeight="1">
      <c r="A2" s="32" t="s">
        <v>36</v>
      </c>
      <c r="B2" s="113" t="s">
        <v>112</v>
      </c>
      <c r="C2" s="115"/>
      <c r="D2" s="67" t="s">
        <v>118</v>
      </c>
    </row>
    <row r="3" spans="1:3" ht="12">
      <c r="A3" s="33" t="s">
        <v>114</v>
      </c>
      <c r="B3" s="38" t="s">
        <v>50</v>
      </c>
      <c r="C3" s="39">
        <v>1.8</v>
      </c>
    </row>
    <row r="4" spans="1:3" ht="12">
      <c r="A4" s="33" t="s">
        <v>115</v>
      </c>
      <c r="B4" s="38" t="s">
        <v>49</v>
      </c>
      <c r="C4" s="39">
        <v>8.9</v>
      </c>
    </row>
    <row r="5" spans="1:3" ht="12">
      <c r="A5" s="33" t="s">
        <v>116</v>
      </c>
      <c r="B5" s="43" t="s">
        <v>46</v>
      </c>
      <c r="C5" s="44">
        <f>0.5*1.22*(C3*C3*0.7854)*C4*C4*C4</f>
        <v>1094.2983945986402</v>
      </c>
    </row>
    <row r="6" spans="1:3" ht="12">
      <c r="A6" s="33" t="s">
        <v>117</v>
      </c>
      <c r="B6" s="45" t="s">
        <v>47</v>
      </c>
      <c r="C6" s="44">
        <f>C5*0.4</f>
        <v>437.7193578394561</v>
      </c>
    </row>
    <row r="7" spans="1:3" ht="12">
      <c r="A7" s="33"/>
      <c r="B7" s="45" t="s">
        <v>48</v>
      </c>
      <c r="C7" s="44">
        <f>C5*0.24</f>
        <v>262.6316147036737</v>
      </c>
    </row>
    <row r="8" ht="22.5">
      <c r="A8" s="34" t="s">
        <v>63</v>
      </c>
    </row>
    <row r="9" ht="12">
      <c r="A9" s="33" t="s">
        <v>66</v>
      </c>
    </row>
    <row r="10" ht="12">
      <c r="A10" s="33" t="s">
        <v>67</v>
      </c>
    </row>
    <row r="11" ht="22.5">
      <c r="A11" s="34" t="s">
        <v>64</v>
      </c>
    </row>
    <row r="12" ht="12">
      <c r="A12" s="33" t="s">
        <v>68</v>
      </c>
    </row>
    <row r="13" ht="12">
      <c r="A13" s="32" t="s">
        <v>69</v>
      </c>
    </row>
    <row r="14" ht="56.25">
      <c r="A14" s="35" t="s">
        <v>70</v>
      </c>
    </row>
    <row r="15" ht="12">
      <c r="A15" s="36" t="s">
        <v>71</v>
      </c>
    </row>
    <row r="16" ht="12">
      <c r="A16" s="32" t="s">
        <v>72</v>
      </c>
    </row>
    <row r="17" ht="33.75">
      <c r="A17" s="35" t="s">
        <v>65</v>
      </c>
    </row>
    <row r="18" ht="12">
      <c r="A18" s="31"/>
    </row>
    <row r="19" ht="22.5">
      <c r="A19" s="34" t="s">
        <v>73</v>
      </c>
    </row>
    <row r="20" ht="13.5" customHeight="1">
      <c r="A20" s="33" t="s">
        <v>74</v>
      </c>
    </row>
    <row r="21" spans="1:3" ht="36" customHeight="1">
      <c r="A21" s="32" t="s">
        <v>75</v>
      </c>
      <c r="B21" s="113" t="s">
        <v>113</v>
      </c>
      <c r="C21" s="113"/>
    </row>
    <row r="22" spans="1:3" ht="12">
      <c r="A22" s="36" t="s">
        <v>37</v>
      </c>
      <c r="B22" s="38" t="s">
        <v>53</v>
      </c>
      <c r="C22" s="39">
        <v>300</v>
      </c>
    </row>
    <row r="23" spans="1:3" ht="12">
      <c r="A23" s="36" t="s">
        <v>38</v>
      </c>
      <c r="B23" s="38" t="s">
        <v>52</v>
      </c>
      <c r="C23" s="39">
        <v>8.9</v>
      </c>
    </row>
    <row r="24" spans="1:3" ht="12">
      <c r="A24" s="36" t="s">
        <v>39</v>
      </c>
      <c r="B24" s="43" t="s">
        <v>51</v>
      </c>
      <c r="C24" s="47">
        <f>(C22/(0.15*1.22/2*3.14/4*C23*C23*C23))*0.5</f>
        <v>2.962309888614033</v>
      </c>
    </row>
    <row r="25" spans="1:3" ht="12">
      <c r="A25" s="36" t="s">
        <v>40</v>
      </c>
      <c r="B25" s="46"/>
      <c r="C25" s="46"/>
    </row>
    <row r="26" spans="1:3" ht="33" customHeight="1">
      <c r="A26" s="37" t="s">
        <v>41</v>
      </c>
      <c r="B26" s="116" t="s">
        <v>83</v>
      </c>
      <c r="C26" s="117"/>
    </row>
    <row r="27" spans="1:3" ht="12">
      <c r="A27" s="36" t="s">
        <v>76</v>
      </c>
      <c r="B27" s="38" t="s">
        <v>54</v>
      </c>
      <c r="C27" s="39">
        <v>1.8</v>
      </c>
    </row>
    <row r="28" spans="1:3" ht="12">
      <c r="A28" s="37" t="s">
        <v>42</v>
      </c>
      <c r="B28" s="38" t="s">
        <v>55</v>
      </c>
      <c r="C28" s="39">
        <v>8.9</v>
      </c>
    </row>
    <row r="29" spans="1:3" ht="12">
      <c r="A29" s="36" t="s">
        <v>77</v>
      </c>
      <c r="B29" s="43" t="s">
        <v>56</v>
      </c>
      <c r="C29" s="44">
        <f>0.15*1.22/2*3.14*C27*C27*C28*C28*C28</f>
        <v>656.2446445836001</v>
      </c>
    </row>
    <row r="30" spans="1:3" ht="12">
      <c r="A30" s="36"/>
      <c r="B30" s="40"/>
      <c r="C30" s="41"/>
    </row>
    <row r="31" spans="1:3" ht="24" customHeight="1">
      <c r="A31" s="36" t="s">
        <v>43</v>
      </c>
      <c r="B31" s="113" t="s">
        <v>84</v>
      </c>
      <c r="C31" s="114"/>
    </row>
    <row r="32" spans="1:3" ht="12">
      <c r="A32" s="36" t="s">
        <v>78</v>
      </c>
      <c r="B32" s="38" t="s">
        <v>57</v>
      </c>
      <c r="C32" s="39">
        <v>1000</v>
      </c>
    </row>
    <row r="33" spans="1:3" ht="12">
      <c r="A33" s="36" t="s">
        <v>79</v>
      </c>
      <c r="B33" s="38" t="s">
        <v>58</v>
      </c>
      <c r="C33" s="39">
        <v>500</v>
      </c>
    </row>
    <row r="34" spans="1:3" ht="12">
      <c r="A34" s="31"/>
      <c r="B34" s="43" t="s">
        <v>59</v>
      </c>
      <c r="C34" s="47">
        <f>C32*3.14*2/60/10</f>
        <v>10.466666666666667</v>
      </c>
    </row>
    <row r="35" spans="1:3" ht="30" customHeight="1">
      <c r="A35" s="37" t="s">
        <v>44</v>
      </c>
      <c r="B35" s="113" t="s">
        <v>85</v>
      </c>
      <c r="C35" s="114"/>
    </row>
    <row r="36" spans="1:3" ht="12">
      <c r="A36" s="36" t="s">
        <v>80</v>
      </c>
      <c r="B36" s="38" t="s">
        <v>61</v>
      </c>
      <c r="C36" s="39">
        <v>10</v>
      </c>
    </row>
    <row r="37" spans="1:3" ht="12">
      <c r="A37" s="36" t="s">
        <v>45</v>
      </c>
      <c r="B37" s="42" t="s">
        <v>60</v>
      </c>
      <c r="C37" s="39">
        <v>6</v>
      </c>
    </row>
    <row r="38" spans="1:3" ht="12">
      <c r="A38" s="36" t="s">
        <v>81</v>
      </c>
      <c r="B38" s="43" t="s">
        <v>62</v>
      </c>
      <c r="C38" s="44">
        <f>60*C36*C37/(3.14*2)</f>
        <v>573.2484076433121</v>
      </c>
    </row>
    <row r="39" ht="12">
      <c r="A39" s="36" t="s">
        <v>82</v>
      </c>
    </row>
    <row r="40" ht="12">
      <c r="A40" s="31"/>
    </row>
    <row r="41" spans="1:3" ht="12">
      <c r="A41" s="31"/>
      <c r="B41" s="30" t="s">
        <v>57</v>
      </c>
      <c r="C41" s="30">
        <v>1000</v>
      </c>
    </row>
    <row r="42" spans="1:3" ht="12">
      <c r="A42" s="31"/>
      <c r="B42" s="30" t="s">
        <v>86</v>
      </c>
      <c r="C42" s="30">
        <v>1.8</v>
      </c>
    </row>
    <row r="43" spans="1:2" ht="12">
      <c r="A43" s="31"/>
      <c r="B43" s="30" t="s">
        <v>60</v>
      </c>
    </row>
    <row r="44" ht="12">
      <c r="A44" s="31"/>
    </row>
  </sheetData>
  <mergeCells count="5">
    <mergeCell ref="B35:C35"/>
    <mergeCell ref="B2:C2"/>
    <mergeCell ref="B21:C21"/>
    <mergeCell ref="B26:C26"/>
    <mergeCell ref="B31:C31"/>
  </mergeCells>
  <printOptions/>
  <pageMargins left="0.2" right="0.2" top="0.2" bottom="0.2" header="0.2" footer="0.2"/>
  <pageSetup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MUS corp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proracun generatora</dc:title>
  <dc:subject/>
  <dc:creator>Ljuba</dc:creator>
  <cp:keywords/>
  <dc:description/>
  <cp:lastModifiedBy>Mus-corp</cp:lastModifiedBy>
  <cp:lastPrinted>2008-12-17T13:13:52Z</cp:lastPrinted>
  <dcterms:created xsi:type="dcterms:W3CDTF">2008-05-05T16:05:37Z</dcterms:created>
  <dcterms:modified xsi:type="dcterms:W3CDTF">2009-04-12T18:15:57Z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