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4220" windowHeight="8625" tabRatio="842" activeTab="4"/>
  </bookViews>
  <sheets>
    <sheet name="POLAZNI PODACI" sheetId="1" r:id="rId1"/>
    <sheet name="PRORACUN VRATILA I" sheetId="2" r:id="rId2"/>
    <sheet name="PRORACUN VRATILA II (2)" sheetId="3" r:id="rId3"/>
    <sheet name="PRORACUN ZUPCANIKA (2)" sheetId="4" r:id="rId4"/>
    <sheet name="PRORACUN LEZAJA (2)" sheetId="5" r:id="rId5"/>
  </sheets>
  <externalReferences>
    <externalReference r:id="rId8"/>
  </externalReferences>
  <definedNames>
    <definedName name="_xlnm.Print_Area" localSheetId="4">'PRORACUN LEZAJA (2)'!$B$1:$E$70</definedName>
    <definedName name="_xlnm.Print_Area" localSheetId="1">'PRORACUN VRATILA I'!$B$1:$E$133</definedName>
    <definedName name="_xlnm.Print_Area" localSheetId="2">'PRORACUN VRATILA II (2)'!$B$1:$E$133</definedName>
    <definedName name="_xlnm.Print_Area" localSheetId="3">'PRORACUN ZUPCANIKA (2)'!$B$1:$E$170</definedName>
    <definedName name="Z_FCBE021A_71D4_4D56_BF61_124596C57F7A_.wvu.PrintArea" localSheetId="4" hidden="1">'PRORACUN LEZAJA (2)'!$B$1:$E$70</definedName>
    <definedName name="Z_FCBE021A_71D4_4D56_BF61_124596C57F7A_.wvu.PrintArea" localSheetId="1" hidden="1">'PRORACUN VRATILA I'!$B$1:$E$133</definedName>
    <definedName name="Z_FCBE021A_71D4_4D56_BF61_124596C57F7A_.wvu.PrintArea" localSheetId="2" hidden="1">'PRORACUN VRATILA II (2)'!$B$1:$E$133</definedName>
    <definedName name="Z_FCBE021A_71D4_4D56_BF61_124596C57F7A_.wvu.PrintArea" localSheetId="3" hidden="1">'PRORACUN ZUPCANIKA (2)'!$B$1:$E$170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<sst xmlns="http://schemas.openxmlformats.org/spreadsheetml/2006/main" count="833" uniqueCount="385">
  <si>
    <t>PRORA^UN CILINDRI^NOG ZUP^ASTOG PARA</t>
  </si>
  <si>
    <t>POLAZNI PODACI:</t>
  </si>
  <si>
    <t>Snaga</t>
  </si>
  <si>
    <t>P=</t>
  </si>
  <si>
    <t>kW</t>
  </si>
  <si>
    <t>Broj obrtaja pogonskog zup~anika</t>
  </si>
  <si>
    <t>min-1</t>
  </si>
  <si>
    <t>Prenosni odnos</t>
  </si>
  <si>
    <t>u=</t>
  </si>
  <si>
    <t>Broj zubaca pogonskog zup~anika</t>
  </si>
  <si>
    <t>Ugao nagiba bo~ne linije zupca</t>
  </si>
  <si>
    <t>Smer bo~ne linije pogonskog zup~anika</t>
  </si>
  <si>
    <t>Faktor {irine zup~anika</t>
  </si>
  <si>
    <t>Koeficijent pomerawa profila</t>
  </si>
  <si>
    <t>Kvalitet izrade zup~anika</t>
  </si>
  <si>
    <t>IT</t>
  </si>
  <si>
    <t>Materijal zup~anika</t>
  </si>
  <si>
    <t>Faktor spoqa{wih dinami~kih sila</t>
  </si>
  <si>
    <t>Polo`aj zup~anika izme|u le`i{ta</t>
  </si>
  <si>
    <t>simetri~an</t>
  </si>
  <si>
    <t>Stepen siigurnosti protiv razarawa bokova zuba</t>
  </si>
  <si>
    <t>s=</t>
  </si>
  <si>
    <t>Faktor raspodele optere}ewa</t>
  </si>
  <si>
    <t>Ugao nagiba profila u normalnom preseku</t>
  </si>
  <si>
    <t>1. PRORA^UN ^VRSTO]E ZUP^ANIKA</t>
  </si>
  <si>
    <t>Pre~nik podeone kru`nice</t>
  </si>
  <si>
    <t>mm</t>
  </si>
  <si>
    <t>Obrtni moment</t>
  </si>
  <si>
    <t>Nmm</t>
  </si>
  <si>
    <t>Ugaona brzina</t>
  </si>
  <si>
    <t>w=</t>
  </si>
  <si>
    <t>s-1</t>
  </si>
  <si>
    <t>Dinami~ka izdr`qivost za ~vrsto}u bokova</t>
  </si>
  <si>
    <t>N/mm2</t>
  </si>
  <si>
    <t>Dozvoqeni napon</t>
  </si>
  <si>
    <t>Pretpostavqeni pre~nik</t>
  </si>
  <si>
    <t>Pretpostavqena obimna brzina</t>
  </si>
  <si>
    <t>v=</t>
  </si>
  <si>
    <t>m/s</t>
  </si>
  <si>
    <t>Zna~ajka</t>
  </si>
  <si>
    <t>Faktor unutra{wih dinami~kih sila</t>
  </si>
  <si>
    <t>Stepen sprezawa bo~nih linija</t>
  </si>
  <si>
    <t>Kv=</t>
  </si>
  <si>
    <t>Uticaj elasti~nosti materijala</t>
  </si>
  <si>
    <t>Z=</t>
  </si>
  <si>
    <t>Modul zup~anika u normalnoj ravni</t>
  </si>
  <si>
    <t>Usvajam standardni modul prve grupe</t>
  </si>
  <si>
    <t xml:space="preserve">^eoni modul </t>
  </si>
  <si>
    <t>Stvarni pre~nik</t>
  </si>
  <si>
    <t>2. STEPEN SIGURNOSTI PROTIV LOMA</t>
  </si>
  <si>
    <t>Stepen sigurnosti</t>
  </si>
  <si>
    <t>S=</t>
  </si>
  <si>
    <t>Faktor korekcije</t>
  </si>
  <si>
    <t>^vrsto}a materijala</t>
  </si>
  <si>
    <t>Napon u podno`iju</t>
  </si>
  <si>
    <t>Faktor oblika zuba</t>
  </si>
  <si>
    <t>Ra~unski broj zuba</t>
  </si>
  <si>
    <t>Zn=</t>
  </si>
  <si>
    <t>Faktor koncentracije napona</t>
  </si>
  <si>
    <t>Ysa=</t>
  </si>
  <si>
    <t>Faktor polo`aja</t>
  </si>
  <si>
    <t>Stepen sprezawa profila</t>
  </si>
  <si>
    <t>Faktor uticaja kosozubih zup~anika</t>
  </si>
  <si>
    <t>Obimna sila</t>
  </si>
  <si>
    <t>Ft=</t>
  </si>
  <si>
    <t>N</t>
  </si>
  <si>
    <t>[irina zup~anika</t>
  </si>
  <si>
    <t>b=</t>
  </si>
  <si>
    <t>ZAVR[NI PRORA^UN ZUP^ANIKA</t>
  </si>
  <si>
    <t>Ulazni podaci:</t>
  </si>
  <si>
    <t>Broj obrtaja gowenog zup~anika</t>
  </si>
  <si>
    <t>Standardni modul</t>
  </si>
  <si>
    <t>^eoni modul</t>
  </si>
  <si>
    <t>3. GEOMETRIJSKE MERE I KINEMATSKI ODNOS</t>
  </si>
  <si>
    <t>3.1. Osnovna zup~anica</t>
  </si>
  <si>
    <t>Ugao nagiba bo~ne linije</t>
  </si>
  <si>
    <t>rad</t>
  </si>
  <si>
    <t>Ugao nagiba profila u glavnom preseku</t>
  </si>
  <si>
    <t>3.2. Brojevi zubaca i wihov odnos</t>
  </si>
  <si>
    <t>Broj zubaca gowenog zup~anika</t>
  </si>
  <si>
    <t>Kinematski prenosni odnos</t>
  </si>
  <si>
    <t>i=</t>
  </si>
  <si>
    <t>Ekvivalentni broj zuba</t>
  </si>
  <si>
    <t>3.3. [irina zup~anika</t>
  </si>
  <si>
    <t>Ra~unska {irina zup~anika</t>
  </si>
  <si>
    <t>Usvajamo {irinu zup~anika</t>
  </si>
  <si>
    <t xml:space="preserve">                       -pogonskog</t>
  </si>
  <si>
    <t xml:space="preserve">                       -gowenog</t>
  </si>
  <si>
    <t>3.4. Pre~nici podeonih kru`nica</t>
  </si>
  <si>
    <t>3.5. Pre~nici osnovnih kru`nica</t>
  </si>
  <si>
    <t>3.6. Napadni ugao evolvente</t>
  </si>
  <si>
    <t>3.7. Pre~nici kinematskih kru`nica</t>
  </si>
  <si>
    <t>3.8. Osno rastojawe zup~anika</t>
  </si>
  <si>
    <t>a=</t>
  </si>
  <si>
    <t>3.9. Pre~nici podno`nih kru`nica</t>
  </si>
  <si>
    <t>3.10. Pre~nici temenih kru`nica</t>
  </si>
  <si>
    <t>Usvajam:</t>
  </si>
  <si>
    <t>3.11. Podeoni koraci</t>
  </si>
  <si>
    <t>Osnovni korak</t>
  </si>
  <si>
    <t>3.12. Aktivna du`ina dodirnice</t>
  </si>
  <si>
    <t>3.13. Stepeni sprezawa profila</t>
  </si>
  <si>
    <t>Ukupni stepen sprezawa</t>
  </si>
  <si>
    <t>3.11. Mere preko zuba</t>
  </si>
  <si>
    <t>Mera preko zauba</t>
  </si>
  <si>
    <r>
      <t>n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>=</t>
    </r>
  </si>
  <si>
    <r>
      <t>z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>=</t>
    </r>
  </si>
  <si>
    <r>
      <t>b</t>
    </r>
    <r>
      <rPr>
        <sz val="8"/>
        <rFont val="Times New Roman"/>
        <family val="1"/>
      </rPr>
      <t>0</t>
    </r>
    <r>
      <rPr>
        <sz val="12"/>
        <rFont val="Times New Roman"/>
        <family val="1"/>
      </rPr>
      <t>=</t>
    </r>
  </si>
  <si>
    <r>
      <t>j</t>
    </r>
    <r>
      <rPr>
        <sz val="12"/>
        <rFont val="Times New Roman"/>
        <family val="1"/>
      </rPr>
      <t>=</t>
    </r>
  </si>
  <si>
    <r>
      <t>X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>=</t>
    </r>
  </si>
  <si>
    <r>
      <t>X</t>
    </r>
    <r>
      <rPr>
        <sz val="8"/>
        <rFont val="Times New Roman"/>
        <family val="1"/>
      </rPr>
      <t>2</t>
    </r>
    <r>
      <rPr>
        <sz val="12"/>
        <rFont val="Times New Roman"/>
        <family val="1"/>
      </rPr>
      <t>=</t>
    </r>
  </si>
  <si>
    <r>
      <t>K</t>
    </r>
    <r>
      <rPr>
        <sz val="8"/>
        <rFont val="Times New Roman"/>
        <family val="1"/>
      </rPr>
      <t>A</t>
    </r>
    <r>
      <rPr>
        <sz val="12"/>
        <rFont val="Times New Roman"/>
        <family val="1"/>
      </rPr>
      <t>=</t>
    </r>
  </si>
  <si>
    <r>
      <t>K</t>
    </r>
    <r>
      <rPr>
        <sz val="8"/>
        <rFont val="Times New Roman"/>
        <family val="1"/>
      </rPr>
      <t>H</t>
    </r>
    <r>
      <rPr>
        <sz val="8"/>
        <rFont val="Symbol"/>
        <family val="1"/>
      </rPr>
      <t>b</t>
    </r>
    <r>
      <rPr>
        <sz val="12"/>
        <rFont val="Times New Roman"/>
        <family val="1"/>
      </rPr>
      <t>=</t>
    </r>
  </si>
  <si>
    <r>
      <t>a</t>
    </r>
    <r>
      <rPr>
        <sz val="12"/>
        <rFont val="Times New Roman"/>
        <family val="1"/>
      </rPr>
      <t>n=</t>
    </r>
  </si>
  <si>
    <r>
      <t>d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>=</t>
    </r>
  </si>
  <si>
    <r>
      <t>T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>=</t>
    </r>
  </si>
  <si>
    <r>
      <t>s</t>
    </r>
    <r>
      <rPr>
        <sz val="8"/>
        <rFont val="Symbol"/>
        <family val="1"/>
      </rPr>
      <t>H</t>
    </r>
    <r>
      <rPr>
        <sz val="8"/>
        <rFont val="Times New Roman"/>
        <family val="1"/>
      </rPr>
      <t>lim</t>
    </r>
    <r>
      <rPr>
        <sz val="12"/>
        <rFont val="Times New Roman"/>
        <family val="1"/>
      </rPr>
      <t>=</t>
    </r>
  </si>
  <si>
    <r>
      <t>s</t>
    </r>
    <r>
      <rPr>
        <sz val="12"/>
        <rFont val="Times New Roman"/>
        <family val="1"/>
      </rPr>
      <t>d</t>
    </r>
    <r>
      <rPr>
        <sz val="12"/>
        <rFont val="Symbol"/>
        <family val="1"/>
      </rPr>
      <t>=</t>
    </r>
  </si>
  <si>
    <r>
      <t>v</t>
    </r>
    <r>
      <rPr>
        <sz val="8"/>
        <rFont val="Times New Roman"/>
        <family val="1"/>
      </rPr>
      <t>*</t>
    </r>
    <r>
      <rPr>
        <sz val="12"/>
        <rFont val="Times New Roman"/>
        <family val="1"/>
      </rPr>
      <t>z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>/100=</t>
    </r>
  </si>
  <si>
    <r>
      <t>Kv</t>
    </r>
    <r>
      <rPr>
        <sz val="12"/>
        <rFont val="Symbol"/>
        <family val="1"/>
      </rPr>
      <t>b</t>
    </r>
    <r>
      <rPr>
        <sz val="12"/>
        <rFont val="Times New Roman"/>
        <family val="1"/>
      </rPr>
      <t>=</t>
    </r>
  </si>
  <si>
    <r>
      <t>Kv</t>
    </r>
    <r>
      <rPr>
        <sz val="12"/>
        <rFont val="Symbol"/>
        <family val="1"/>
      </rPr>
      <t>a</t>
    </r>
    <r>
      <rPr>
        <sz val="12"/>
        <rFont val="Times New Roman"/>
        <family val="1"/>
      </rPr>
      <t>=</t>
    </r>
  </si>
  <si>
    <r>
      <t>eb</t>
    </r>
    <r>
      <rPr>
        <sz val="12"/>
        <rFont val="Times New Roman"/>
        <family val="1"/>
      </rPr>
      <t>=</t>
    </r>
  </si>
  <si>
    <r>
      <t>K</t>
    </r>
    <r>
      <rPr>
        <sz val="8"/>
        <rFont val="Times New Roman"/>
        <family val="1"/>
      </rPr>
      <t>H</t>
    </r>
    <r>
      <rPr>
        <sz val="12"/>
        <rFont val="Times New Roman"/>
        <family val="1"/>
      </rPr>
      <t>=</t>
    </r>
  </si>
  <si>
    <r>
      <t>m</t>
    </r>
    <r>
      <rPr>
        <sz val="10"/>
        <rFont val="Times New Roman"/>
        <family val="1"/>
      </rPr>
      <t>n</t>
    </r>
    <r>
      <rPr>
        <sz val="12"/>
        <rFont val="Times New Roman"/>
        <family val="1"/>
      </rPr>
      <t>=</t>
    </r>
  </si>
  <si>
    <r>
      <t>m</t>
    </r>
    <r>
      <rPr>
        <sz val="10"/>
        <rFont val="Times New Roman"/>
        <family val="1"/>
      </rPr>
      <t>t</t>
    </r>
    <r>
      <rPr>
        <sz val="12"/>
        <rFont val="Times New Roman"/>
        <family val="1"/>
      </rPr>
      <t>=</t>
    </r>
  </si>
  <si>
    <r>
      <t>Y</t>
    </r>
    <r>
      <rPr>
        <sz val="8"/>
        <rFont val="Times Roman Cirilica"/>
        <family val="2"/>
      </rPr>
      <t>P</t>
    </r>
    <r>
      <rPr>
        <sz val="12"/>
        <rFont val="Times Roman Cirilica"/>
        <family val="2"/>
      </rPr>
      <t>=</t>
    </r>
  </si>
  <si>
    <r>
      <t>s</t>
    </r>
    <r>
      <rPr>
        <sz val="10"/>
        <rFont val="Times New Roman"/>
        <family val="1"/>
      </rPr>
      <t>Flim</t>
    </r>
    <r>
      <rPr>
        <sz val="12"/>
        <rFont val="Times New Roman"/>
        <family val="1"/>
      </rPr>
      <t>=</t>
    </r>
  </si>
  <si>
    <r>
      <t>s</t>
    </r>
    <r>
      <rPr>
        <sz val="8"/>
        <rFont val="Times New Roman"/>
        <family val="1"/>
      </rPr>
      <t>F</t>
    </r>
    <r>
      <rPr>
        <sz val="12"/>
        <rFont val="Times New Roman"/>
        <family val="1"/>
      </rPr>
      <t>=</t>
    </r>
  </si>
  <si>
    <r>
      <t>Y</t>
    </r>
    <r>
      <rPr>
        <sz val="8"/>
        <rFont val="Times New Roman"/>
        <family val="1"/>
      </rPr>
      <t>Fa</t>
    </r>
    <r>
      <rPr>
        <sz val="12"/>
        <rFont val="Times New Roman"/>
        <family val="1"/>
      </rPr>
      <t>=</t>
    </r>
  </si>
  <si>
    <r>
      <t>Y</t>
    </r>
    <r>
      <rPr>
        <sz val="12"/>
        <rFont val="Symbol"/>
        <family val="1"/>
      </rPr>
      <t>e=</t>
    </r>
  </si>
  <si>
    <r>
      <t>ea</t>
    </r>
    <r>
      <rPr>
        <sz val="12"/>
        <rFont val="Times New Roman"/>
        <family val="1"/>
      </rPr>
      <t>=</t>
    </r>
  </si>
  <si>
    <r>
      <t>Y</t>
    </r>
    <r>
      <rPr>
        <sz val="12"/>
        <rFont val="Symbol"/>
        <family val="1"/>
      </rPr>
      <t>b</t>
    </r>
    <r>
      <rPr>
        <sz val="12"/>
        <rFont val="Times New Roman"/>
        <family val="1"/>
      </rPr>
      <t>=</t>
    </r>
  </si>
  <si>
    <r>
      <t>K</t>
    </r>
    <r>
      <rPr>
        <sz val="8"/>
        <rFont val="Times New Roman"/>
        <family val="1"/>
      </rPr>
      <t>F</t>
    </r>
    <r>
      <rPr>
        <sz val="8"/>
        <rFont val="Symbol"/>
        <family val="1"/>
      </rPr>
      <t>b</t>
    </r>
    <r>
      <rPr>
        <sz val="12"/>
        <rFont val="Times New Roman"/>
        <family val="1"/>
      </rPr>
      <t>=</t>
    </r>
  </si>
  <si>
    <r>
      <t>n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>=</t>
    </r>
  </si>
  <si>
    <r>
      <t>n</t>
    </r>
    <r>
      <rPr>
        <sz val="8"/>
        <rFont val="Times New Roman"/>
        <family val="1"/>
      </rPr>
      <t>2</t>
    </r>
    <r>
      <rPr>
        <sz val="12"/>
        <rFont val="Times New Roman"/>
        <family val="1"/>
      </rPr>
      <t>=</t>
    </r>
  </si>
  <si>
    <r>
      <t>m</t>
    </r>
    <r>
      <rPr>
        <sz val="8"/>
        <rFont val="Times New Roman"/>
        <family val="1"/>
      </rPr>
      <t>n</t>
    </r>
    <r>
      <rPr>
        <sz val="12"/>
        <rFont val="Times New Roman"/>
        <family val="1"/>
      </rPr>
      <t>=</t>
    </r>
  </si>
  <si>
    <r>
      <t>m</t>
    </r>
    <r>
      <rPr>
        <sz val="8"/>
        <rFont val="Times New Roman"/>
        <family val="1"/>
      </rPr>
      <t>t</t>
    </r>
    <r>
      <rPr>
        <sz val="12"/>
        <rFont val="Times New Roman"/>
        <family val="1"/>
      </rPr>
      <t>=</t>
    </r>
  </si>
  <si>
    <r>
      <t>b</t>
    </r>
    <r>
      <rPr>
        <sz val="8"/>
        <rFont val="Symbol"/>
        <family val="1"/>
      </rPr>
      <t>0</t>
    </r>
    <r>
      <rPr>
        <sz val="12"/>
        <rFont val="Symbol"/>
        <family val="1"/>
      </rPr>
      <t>=</t>
    </r>
  </si>
  <si>
    <r>
      <t>tan</t>
    </r>
    <r>
      <rPr>
        <sz val="12"/>
        <rFont val="Symbol"/>
        <family val="1"/>
      </rPr>
      <t>a</t>
    </r>
    <r>
      <rPr>
        <sz val="12"/>
        <rFont val="Times New Roman"/>
        <family val="1"/>
      </rPr>
      <t>n=</t>
    </r>
  </si>
  <si>
    <r>
      <t>cos</t>
    </r>
    <r>
      <rPr>
        <sz val="12"/>
        <rFont val="Symbol"/>
        <family val="1"/>
      </rPr>
      <t>b</t>
    </r>
    <r>
      <rPr>
        <sz val="8"/>
        <rFont val="Times New Roman"/>
        <family val="1"/>
      </rPr>
      <t>0</t>
    </r>
    <r>
      <rPr>
        <sz val="12"/>
        <rFont val="Times New Roman"/>
        <family val="1"/>
      </rPr>
      <t>=</t>
    </r>
  </si>
  <si>
    <r>
      <t>a</t>
    </r>
    <r>
      <rPr>
        <sz val="12"/>
        <rFont val="Times New Roman"/>
        <family val="1"/>
      </rPr>
      <t>t=</t>
    </r>
  </si>
  <si>
    <r>
      <t>tan</t>
    </r>
    <r>
      <rPr>
        <sz val="12"/>
        <rFont val="Symbol"/>
        <family val="1"/>
      </rPr>
      <t>a</t>
    </r>
    <r>
      <rPr>
        <sz val="12"/>
        <rFont val="Times New Roman"/>
        <family val="1"/>
      </rPr>
      <t>t=</t>
    </r>
  </si>
  <si>
    <r>
      <t>z</t>
    </r>
    <r>
      <rPr>
        <sz val="8"/>
        <rFont val="Times New Roman"/>
        <family val="1"/>
      </rPr>
      <t>2</t>
    </r>
    <r>
      <rPr>
        <sz val="12"/>
        <rFont val="Times New Roman"/>
        <family val="1"/>
      </rPr>
      <t>=</t>
    </r>
  </si>
  <si>
    <r>
      <t>z</t>
    </r>
    <r>
      <rPr>
        <sz val="8"/>
        <rFont val="Times New Roman"/>
        <family val="1"/>
      </rPr>
      <t>n1</t>
    </r>
    <r>
      <rPr>
        <sz val="12"/>
        <rFont val="Times New Roman"/>
        <family val="1"/>
      </rPr>
      <t>=</t>
    </r>
  </si>
  <si>
    <r>
      <t>z</t>
    </r>
    <r>
      <rPr>
        <sz val="8"/>
        <rFont val="Times New Roman"/>
        <family val="1"/>
      </rPr>
      <t>n2</t>
    </r>
    <r>
      <rPr>
        <sz val="12"/>
        <rFont val="Times New Roman"/>
        <family val="1"/>
      </rPr>
      <t>=</t>
    </r>
  </si>
  <si>
    <r>
      <t>b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>=</t>
    </r>
  </si>
  <si>
    <r>
      <t>b</t>
    </r>
    <r>
      <rPr>
        <sz val="8"/>
        <rFont val="Times New Roman"/>
        <family val="1"/>
      </rPr>
      <t>2</t>
    </r>
    <r>
      <rPr>
        <sz val="12"/>
        <rFont val="Times New Roman"/>
        <family val="1"/>
      </rPr>
      <t>=</t>
    </r>
  </si>
  <si>
    <r>
      <t>d</t>
    </r>
    <r>
      <rPr>
        <sz val="8"/>
        <rFont val="Times New Roman"/>
        <family val="1"/>
      </rPr>
      <t>2</t>
    </r>
    <r>
      <rPr>
        <sz val="12"/>
        <rFont val="Times New Roman"/>
        <family val="1"/>
      </rPr>
      <t>=</t>
    </r>
  </si>
  <si>
    <r>
      <t>d</t>
    </r>
    <r>
      <rPr>
        <sz val="8"/>
        <rFont val="Times New Roman"/>
        <family val="1"/>
      </rPr>
      <t>b1</t>
    </r>
    <r>
      <rPr>
        <sz val="12"/>
        <rFont val="Times New Roman"/>
        <family val="1"/>
      </rPr>
      <t>=</t>
    </r>
  </si>
  <si>
    <r>
      <t>d</t>
    </r>
    <r>
      <rPr>
        <sz val="8"/>
        <rFont val="Times New Roman"/>
        <family val="1"/>
      </rPr>
      <t>b2</t>
    </r>
    <r>
      <rPr>
        <sz val="12"/>
        <rFont val="Times New Roman"/>
        <family val="1"/>
      </rPr>
      <t>=</t>
    </r>
  </si>
  <si>
    <r>
      <t>r</t>
    </r>
    <r>
      <rPr>
        <sz val="8"/>
        <rFont val="Times New Roman"/>
        <family val="1"/>
      </rPr>
      <t>b1</t>
    </r>
    <r>
      <rPr>
        <sz val="12"/>
        <rFont val="Times New Roman"/>
        <family val="1"/>
      </rPr>
      <t>=</t>
    </r>
  </si>
  <si>
    <r>
      <t>r</t>
    </r>
    <r>
      <rPr>
        <sz val="8"/>
        <rFont val="Times New Roman"/>
        <family val="1"/>
      </rPr>
      <t>b2</t>
    </r>
    <r>
      <rPr>
        <sz val="12"/>
        <rFont val="Times New Roman"/>
        <family val="1"/>
      </rPr>
      <t>=</t>
    </r>
  </si>
  <si>
    <r>
      <t xml:space="preserve">Po{to je </t>
    </r>
    <r>
      <rPr>
        <sz val="12"/>
        <rFont val="Times New Roman"/>
        <family val="1"/>
      </rPr>
      <t>X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>=X</t>
    </r>
    <r>
      <rPr>
        <sz val="8"/>
        <rFont val="Times New Roman"/>
        <family val="1"/>
      </rPr>
      <t>2</t>
    </r>
    <r>
      <rPr>
        <sz val="12"/>
        <rFont val="Times New Roman"/>
        <family val="1"/>
      </rPr>
      <t>=0</t>
    </r>
    <r>
      <rPr>
        <sz val="12"/>
        <rFont val="Times Roman Cirilica"/>
        <family val="2"/>
      </rPr>
      <t>, onda je</t>
    </r>
  </si>
  <si>
    <r>
      <t>a</t>
    </r>
    <r>
      <rPr>
        <sz val="8"/>
        <rFont val="Times New Roman"/>
        <family val="1"/>
      </rPr>
      <t>wt</t>
    </r>
    <r>
      <rPr>
        <sz val="12"/>
        <rFont val="Times New Roman"/>
        <family val="1"/>
      </rPr>
      <t>=</t>
    </r>
    <r>
      <rPr>
        <sz val="12"/>
        <rFont val="Symbol"/>
        <family val="1"/>
      </rPr>
      <t>a</t>
    </r>
    <r>
      <rPr>
        <sz val="8"/>
        <rFont val="Times New Roman"/>
        <family val="1"/>
      </rPr>
      <t>t</t>
    </r>
    <r>
      <rPr>
        <sz val="12"/>
        <rFont val="Times New Roman"/>
        <family val="1"/>
      </rPr>
      <t>=</t>
    </r>
  </si>
  <si>
    <r>
      <t>d</t>
    </r>
    <r>
      <rPr>
        <sz val="8"/>
        <rFont val="Times New Roman"/>
        <family val="1"/>
      </rPr>
      <t>w1</t>
    </r>
    <r>
      <rPr>
        <sz val="12"/>
        <rFont val="Times New Roman"/>
        <family val="1"/>
      </rPr>
      <t>=d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>=</t>
    </r>
  </si>
  <si>
    <r>
      <t>d</t>
    </r>
    <r>
      <rPr>
        <sz val="8"/>
        <rFont val="Times New Roman"/>
        <family val="1"/>
      </rPr>
      <t>w2</t>
    </r>
    <r>
      <rPr>
        <sz val="12"/>
        <rFont val="Times New Roman"/>
        <family val="1"/>
      </rPr>
      <t>=d</t>
    </r>
    <r>
      <rPr>
        <sz val="8"/>
        <rFont val="Times New Roman"/>
        <family val="1"/>
      </rPr>
      <t>2</t>
    </r>
    <r>
      <rPr>
        <sz val="12"/>
        <rFont val="Times New Roman"/>
        <family val="1"/>
      </rPr>
      <t>=</t>
    </r>
  </si>
  <si>
    <r>
      <t>d</t>
    </r>
    <r>
      <rPr>
        <sz val="8"/>
        <rFont val="Times New Roman"/>
        <family val="1"/>
      </rPr>
      <t>f1</t>
    </r>
    <r>
      <rPr>
        <sz val="12"/>
        <rFont val="Times New Roman"/>
        <family val="1"/>
      </rPr>
      <t>=</t>
    </r>
  </si>
  <si>
    <r>
      <t>d</t>
    </r>
    <r>
      <rPr>
        <sz val="8"/>
        <rFont val="Times New Roman"/>
        <family val="1"/>
      </rPr>
      <t>f2</t>
    </r>
    <r>
      <rPr>
        <sz val="12"/>
        <rFont val="Times New Roman"/>
        <family val="1"/>
      </rPr>
      <t>=</t>
    </r>
  </si>
  <si>
    <r>
      <t>d</t>
    </r>
    <r>
      <rPr>
        <sz val="8"/>
        <rFont val="Times New Roman"/>
        <family val="1"/>
      </rPr>
      <t>a1</t>
    </r>
    <r>
      <rPr>
        <sz val="12"/>
        <rFont val="Times New Roman"/>
        <family val="1"/>
      </rPr>
      <t>=</t>
    </r>
  </si>
  <si>
    <r>
      <t>d</t>
    </r>
    <r>
      <rPr>
        <sz val="8"/>
        <rFont val="Times New Roman"/>
        <family val="1"/>
      </rPr>
      <t>a2</t>
    </r>
    <r>
      <rPr>
        <sz val="12"/>
        <rFont val="Times New Roman"/>
        <family val="1"/>
      </rPr>
      <t>=</t>
    </r>
  </si>
  <si>
    <r>
      <t>r</t>
    </r>
    <r>
      <rPr>
        <sz val="8"/>
        <rFont val="Times New Roman"/>
        <family val="1"/>
      </rPr>
      <t>a1</t>
    </r>
    <r>
      <rPr>
        <sz val="12"/>
        <rFont val="Times New Roman"/>
        <family val="1"/>
      </rPr>
      <t>=</t>
    </r>
  </si>
  <si>
    <r>
      <t>r</t>
    </r>
    <r>
      <rPr>
        <sz val="8"/>
        <rFont val="Times New Roman"/>
        <family val="1"/>
      </rPr>
      <t>a2</t>
    </r>
    <r>
      <rPr>
        <sz val="12"/>
        <rFont val="Times New Roman"/>
        <family val="1"/>
      </rPr>
      <t>=</t>
    </r>
  </si>
  <si>
    <r>
      <t>p</t>
    </r>
    <r>
      <rPr>
        <sz val="8"/>
        <rFont val="Times New Roman"/>
        <family val="1"/>
      </rPr>
      <t>n</t>
    </r>
    <r>
      <rPr>
        <sz val="12"/>
        <rFont val="Times New Roman"/>
        <family val="1"/>
      </rPr>
      <t>=</t>
    </r>
  </si>
  <si>
    <r>
      <t>p</t>
    </r>
    <r>
      <rPr>
        <sz val="8"/>
        <rFont val="Times New Roman"/>
        <family val="1"/>
      </rPr>
      <t>t</t>
    </r>
    <r>
      <rPr>
        <sz val="12"/>
        <rFont val="Times New Roman"/>
        <family val="1"/>
      </rPr>
      <t>=</t>
    </r>
  </si>
  <si>
    <r>
      <t>p</t>
    </r>
    <r>
      <rPr>
        <sz val="8"/>
        <rFont val="Times New Roman"/>
        <family val="1"/>
      </rPr>
      <t>bt</t>
    </r>
    <r>
      <rPr>
        <sz val="12"/>
        <rFont val="Times New Roman"/>
        <family val="1"/>
      </rPr>
      <t>=</t>
    </r>
  </si>
  <si>
    <r>
      <t>q</t>
    </r>
    <r>
      <rPr>
        <sz val="12"/>
        <rFont val="Symbol"/>
        <family val="1"/>
      </rPr>
      <t>a</t>
    </r>
    <r>
      <rPr>
        <sz val="12"/>
        <rFont val="Times New Roman"/>
        <family val="1"/>
      </rPr>
      <t>=</t>
    </r>
  </si>
  <si>
    <r>
      <t>eb</t>
    </r>
    <r>
      <rPr>
        <sz val="12"/>
        <rFont val="Times New Roman"/>
        <family val="1"/>
      </rPr>
      <t>=</t>
    </r>
  </si>
  <si>
    <r>
      <t>e</t>
    </r>
    <r>
      <rPr>
        <sz val="12"/>
        <rFont val="Times New Roman"/>
        <family val="1"/>
      </rPr>
      <t>=</t>
    </r>
  </si>
  <si>
    <r>
      <t>a</t>
    </r>
    <r>
      <rPr>
        <sz val="8"/>
        <rFont val="Times New Roman"/>
        <family val="1"/>
      </rPr>
      <t>x</t>
    </r>
    <r>
      <rPr>
        <sz val="12"/>
        <rFont val="Times New Roman"/>
        <family val="1"/>
      </rPr>
      <t>=</t>
    </r>
    <r>
      <rPr>
        <sz val="12"/>
        <rFont val="Symbol"/>
        <family val="1"/>
      </rPr>
      <t>a</t>
    </r>
    <r>
      <rPr>
        <sz val="8"/>
        <rFont val="Times New Roman"/>
        <family val="1"/>
      </rPr>
      <t>t</t>
    </r>
  </si>
  <si>
    <r>
      <t>inv</t>
    </r>
    <r>
      <rPr>
        <sz val="12"/>
        <rFont val="Symbol"/>
        <family val="1"/>
      </rPr>
      <t>a</t>
    </r>
    <r>
      <rPr>
        <sz val="8"/>
        <rFont val="Times New Roman"/>
        <family val="1"/>
      </rPr>
      <t>0</t>
    </r>
    <r>
      <rPr>
        <sz val="12"/>
        <rFont val="Times New Roman"/>
        <family val="1"/>
      </rPr>
      <t>=</t>
    </r>
  </si>
  <si>
    <r>
      <t>tg</t>
    </r>
    <r>
      <rPr>
        <sz val="12"/>
        <rFont val="Symbol"/>
        <family val="1"/>
      </rPr>
      <t>a</t>
    </r>
    <r>
      <rPr>
        <sz val="8"/>
        <rFont val="Times New Roman"/>
        <family val="1"/>
      </rPr>
      <t>t</t>
    </r>
    <r>
      <rPr>
        <sz val="12"/>
        <rFont val="Times New Roman"/>
        <family val="1"/>
      </rPr>
      <t>=</t>
    </r>
  </si>
  <si>
    <r>
      <t>z</t>
    </r>
    <r>
      <rPr>
        <sz val="8"/>
        <rFont val="Times New Roman"/>
        <family val="1"/>
      </rPr>
      <t>w1</t>
    </r>
    <r>
      <rPr>
        <sz val="12"/>
        <rFont val="Times New Roman"/>
        <family val="1"/>
      </rPr>
      <t>=</t>
    </r>
  </si>
  <si>
    <r>
      <t>z</t>
    </r>
    <r>
      <rPr>
        <sz val="8"/>
        <rFont val="Times New Roman"/>
        <family val="1"/>
      </rPr>
      <t>w2</t>
    </r>
    <r>
      <rPr>
        <sz val="12"/>
        <rFont val="Times New Roman"/>
        <family val="1"/>
      </rPr>
      <t>=</t>
    </r>
  </si>
  <si>
    <r>
      <t>W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>=</t>
    </r>
  </si>
  <si>
    <r>
      <t>W</t>
    </r>
    <r>
      <rPr>
        <sz val="8"/>
        <rFont val="Times New Roman"/>
        <family val="1"/>
      </rPr>
      <t>2</t>
    </r>
    <r>
      <rPr>
        <sz val="12"/>
        <rFont val="Times New Roman"/>
        <family val="1"/>
      </rPr>
      <t>=</t>
    </r>
  </si>
  <si>
    <t>Faktor udara</t>
  </si>
  <si>
    <t>Materijal vratila</t>
  </si>
  <si>
    <t>Rastojawe izme|u le`aja</t>
  </si>
  <si>
    <t>l=</t>
  </si>
  <si>
    <t>Rastojawe od prvog le`aja do sredine zup~anika</t>
  </si>
  <si>
    <t>Rastojawe od drugog le`aja do sredine zup~anika</t>
  </si>
  <si>
    <t>Pre~nik podeone kru`nice pogonskog zup~anika</t>
  </si>
  <si>
    <t>PRORA^UN:</t>
  </si>
  <si>
    <t>Obimne sila na zup~anicima</t>
  </si>
  <si>
    <t>Radijalne sila na zup~anicima</t>
  </si>
  <si>
    <t>Aksijalna sila na zup~anicima</t>
  </si>
  <si>
    <t>U vertikalnoj ravni</t>
  </si>
  <si>
    <t>U horizontalnoj ravni</t>
  </si>
  <si>
    <t>Provera</t>
  </si>
  <si>
    <t>Ms1(d)=</t>
  </si>
  <si>
    <t>Dinami~ka ~vrsto}a za materijal</t>
  </si>
  <si>
    <t>Koeficijent</t>
  </si>
  <si>
    <t>Na mestu spojnice i le`aja</t>
  </si>
  <si>
    <t>Na mestu zup~anika</t>
  </si>
  <si>
    <t>DIMENZIONISAWE VRATILA</t>
  </si>
  <si>
    <t>Idealni pre~nici vratila</t>
  </si>
  <si>
    <t>Idealni pre~nici vratila uve}ani  za 20%</t>
  </si>
  <si>
    <t>Usvojene standardne vrednosti pre~nika vratila</t>
  </si>
  <si>
    <t>Na mestu spojnice</t>
  </si>
  <si>
    <t>Na mestu le`ista</t>
  </si>
  <si>
    <t>PROVERA VRATILA ZA VEZU SA ZUP^ANIKOM</t>
  </si>
  <si>
    <t>Dubina `qeba za klin</t>
  </si>
  <si>
    <t>t=</t>
  </si>
  <si>
    <t>Poluprecnik zaobqenja zqeba za klin</t>
  </si>
  <si>
    <t>r=</t>
  </si>
  <si>
    <t>(t/d)=</t>
  </si>
  <si>
    <t>(r/t)=</t>
  </si>
  <si>
    <t>Geometrijski faktor koncentracije napona</t>
  </si>
  <si>
    <t>Faktor osetqivosti materijala na koncentraciju napona</t>
  </si>
  <si>
    <t>Efektivni faktor koncentracije napona</t>
  </si>
  <si>
    <t>Faktor stawa povr{ine</t>
  </si>
  <si>
    <t>Faktor veli~ine preseka za savijawe</t>
  </si>
  <si>
    <t>Faktor veli~ine preseka za uvijawe</t>
  </si>
  <si>
    <t>Aksijalni otporni moment preseka</t>
  </si>
  <si>
    <t>W=</t>
  </si>
  <si>
    <t>mm3</t>
  </si>
  <si>
    <t>Polarni otporni moment preseka</t>
  </si>
  <si>
    <t>Wp=</t>
  </si>
  <si>
    <t>Napon savijawa</t>
  </si>
  <si>
    <t>Napon uvijawa</t>
  </si>
  <si>
    <t>Stepen sigurnosti preseka vratila na podglavku zup~anika</t>
  </si>
  <si>
    <t>PROVERA KLINA ZA VEZU SA ZUP^ANIKOM</t>
  </si>
  <si>
    <t>Mere klina</t>
  </si>
  <si>
    <t>h=</t>
  </si>
  <si>
    <t>Provera klina na povr{inski pritisak</t>
  </si>
  <si>
    <t>h-t=</t>
  </si>
  <si>
    <t>Korisna du`ina klina</t>
  </si>
  <si>
    <t>lk=</t>
  </si>
  <si>
    <t>Broj klinova za vezu sa zup~anikom</t>
  </si>
  <si>
    <t>Obimna sila po klinu</t>
  </si>
  <si>
    <t>Ftk=</t>
  </si>
  <si>
    <t>Povr{inski pritisak izme|u klina i glav~ine</t>
  </si>
  <si>
    <t>p=</t>
  </si>
  <si>
    <t>Provera klina na smicawe</t>
  </si>
  <si>
    <t>Materijal klina</t>
  </si>
  <si>
    <t>C.0645</t>
  </si>
  <si>
    <t>Reh=</t>
  </si>
  <si>
    <t>Napon na smicawe</t>
  </si>
  <si>
    <t>PROVERA KLINA ZA VEZU SA SPOJNICOM</t>
  </si>
  <si>
    <r>
      <t xml:space="preserve">PRORA^UN VRATILA </t>
    </r>
    <r>
      <rPr>
        <b/>
        <sz val="12"/>
        <rFont val="Times New Roman"/>
        <family val="1"/>
      </rPr>
      <t xml:space="preserve"> II</t>
    </r>
  </si>
  <si>
    <r>
      <t xml:space="preserve">Broj obrtaja vratila </t>
    </r>
    <r>
      <rPr>
        <sz val="12"/>
        <rFont val="Times New Roman"/>
        <family val="1"/>
      </rPr>
      <t>II</t>
    </r>
  </si>
  <si>
    <r>
      <t>n</t>
    </r>
    <r>
      <rPr>
        <sz val="8"/>
        <rFont val="Times New Roman"/>
        <family val="1"/>
      </rPr>
      <t>2</t>
    </r>
    <r>
      <rPr>
        <sz val="12"/>
        <rFont val="Times New Roman"/>
        <family val="1"/>
      </rPr>
      <t>=</t>
    </r>
  </si>
  <si>
    <r>
      <t>K</t>
    </r>
    <r>
      <rPr>
        <sz val="8"/>
        <rFont val="Times New Roman"/>
        <family val="1"/>
      </rPr>
      <t>A</t>
    </r>
    <r>
      <rPr>
        <sz val="12"/>
        <rFont val="Times New Roman"/>
        <family val="1"/>
      </rPr>
      <t>=</t>
    </r>
  </si>
  <si>
    <r>
      <t>l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>=</t>
    </r>
  </si>
  <si>
    <r>
      <t>l</t>
    </r>
    <r>
      <rPr>
        <sz val="8"/>
        <rFont val="Times New Roman"/>
        <family val="1"/>
      </rPr>
      <t>2</t>
    </r>
    <r>
      <rPr>
        <sz val="12"/>
        <rFont val="Times New Roman"/>
        <family val="1"/>
      </rPr>
      <t>=</t>
    </r>
  </si>
  <si>
    <r>
      <t>d</t>
    </r>
    <r>
      <rPr>
        <sz val="8"/>
        <rFont val="Times New Roman"/>
        <family val="1"/>
      </rPr>
      <t>2</t>
    </r>
    <r>
      <rPr>
        <sz val="12"/>
        <rFont val="Times New Roman"/>
        <family val="1"/>
      </rPr>
      <t>=</t>
    </r>
  </si>
  <si>
    <r>
      <t>S</t>
    </r>
    <r>
      <rPr>
        <sz val="12"/>
        <rFont val="Symbol"/>
        <family val="1"/>
      </rPr>
      <t>s</t>
    </r>
    <r>
      <rPr>
        <sz val="12"/>
        <rFont val="Times New Roman"/>
        <family val="1"/>
      </rPr>
      <t>=</t>
    </r>
  </si>
  <si>
    <r>
      <t>S</t>
    </r>
    <r>
      <rPr>
        <sz val="12"/>
        <rFont val="Symbol"/>
        <family val="1"/>
      </rPr>
      <t>t</t>
    </r>
    <r>
      <rPr>
        <sz val="12"/>
        <rFont val="Times New Roman"/>
        <family val="1"/>
      </rPr>
      <t>=</t>
    </r>
  </si>
  <si>
    <r>
      <t xml:space="preserve">Obrtni moment merodavan za prora~un vratila </t>
    </r>
    <r>
      <rPr>
        <sz val="12"/>
        <rFont val="Times New Roman"/>
        <family val="1"/>
      </rPr>
      <t>II</t>
    </r>
  </si>
  <si>
    <r>
      <t>T</t>
    </r>
    <r>
      <rPr>
        <sz val="8"/>
        <rFont val="Times New Roman"/>
        <family val="1"/>
      </rPr>
      <t>2</t>
    </r>
    <r>
      <rPr>
        <sz val="12"/>
        <rFont val="Times New Roman"/>
        <family val="1"/>
      </rPr>
      <t>=</t>
    </r>
  </si>
  <si>
    <r>
      <t>Ft</t>
    </r>
    <r>
      <rPr>
        <sz val="8"/>
        <rFont val="Times New Roman"/>
        <family val="1"/>
      </rPr>
      <t>2</t>
    </r>
    <r>
      <rPr>
        <sz val="12"/>
        <rFont val="Times New Roman"/>
        <family val="1"/>
      </rPr>
      <t>=</t>
    </r>
  </si>
  <si>
    <r>
      <t>Fr</t>
    </r>
    <r>
      <rPr>
        <sz val="8"/>
        <rFont val="Times New Roman"/>
        <family val="1"/>
      </rPr>
      <t>2</t>
    </r>
    <r>
      <rPr>
        <sz val="12"/>
        <rFont val="Times New Roman"/>
        <family val="1"/>
      </rPr>
      <t>=</t>
    </r>
  </si>
  <si>
    <r>
      <t>Fa</t>
    </r>
    <r>
      <rPr>
        <sz val="8"/>
        <rFont val="Times New Roman"/>
        <family val="1"/>
      </rPr>
      <t>2</t>
    </r>
    <r>
      <rPr>
        <sz val="12"/>
        <rFont val="Times New Roman"/>
        <family val="1"/>
      </rPr>
      <t>=</t>
    </r>
  </si>
  <si>
    <r>
      <t xml:space="preserve">Otpori oslonca na vratilu </t>
    </r>
    <r>
      <rPr>
        <b/>
        <sz val="12"/>
        <rFont val="Times New Roman"/>
        <family val="1"/>
      </rPr>
      <t>II</t>
    </r>
  </si>
  <si>
    <r>
      <t>F</t>
    </r>
    <r>
      <rPr>
        <sz val="8"/>
        <rFont val="Times New Roman"/>
        <family val="1"/>
      </rPr>
      <t>CV</t>
    </r>
    <r>
      <rPr>
        <sz val="12"/>
        <rFont val="Times New Roman"/>
        <family val="1"/>
      </rPr>
      <t>=</t>
    </r>
  </si>
  <si>
    <r>
      <t>F</t>
    </r>
    <r>
      <rPr>
        <sz val="8"/>
        <rFont val="Times New Roman"/>
        <family val="1"/>
      </rPr>
      <t>DV</t>
    </r>
    <r>
      <rPr>
        <sz val="12"/>
        <rFont val="Times New Roman"/>
        <family val="1"/>
      </rPr>
      <t>=</t>
    </r>
  </si>
  <si>
    <r>
      <t>F</t>
    </r>
    <r>
      <rPr>
        <sz val="8"/>
        <rFont val="Times New Roman"/>
        <family val="1"/>
      </rPr>
      <t>CH</t>
    </r>
    <r>
      <rPr>
        <sz val="12"/>
        <rFont val="Times New Roman"/>
        <family val="1"/>
      </rPr>
      <t>=</t>
    </r>
  </si>
  <si>
    <r>
      <t>F</t>
    </r>
    <r>
      <rPr>
        <sz val="8"/>
        <rFont val="Times New Roman"/>
        <family val="1"/>
      </rPr>
      <t>DH</t>
    </r>
    <r>
      <rPr>
        <sz val="12"/>
        <rFont val="Times New Roman"/>
        <family val="1"/>
      </rPr>
      <t>=</t>
    </r>
  </si>
  <si>
    <r>
      <t>S</t>
    </r>
    <r>
      <rPr>
        <sz val="12"/>
        <rFont val="Times New Roman"/>
        <family val="1"/>
      </rPr>
      <t>Fi=0=</t>
    </r>
  </si>
  <si>
    <r>
      <t xml:space="preserve">Momenti savijawa na vratilu </t>
    </r>
    <r>
      <rPr>
        <b/>
        <sz val="12"/>
        <rFont val="Times New Roman"/>
        <family val="1"/>
      </rPr>
      <t>II</t>
    </r>
  </si>
  <si>
    <r>
      <t>Ms</t>
    </r>
    <r>
      <rPr>
        <sz val="8"/>
        <rFont val="Times New Roman"/>
        <family val="1"/>
      </rPr>
      <t>V(l)</t>
    </r>
    <r>
      <rPr>
        <sz val="12"/>
        <rFont val="Times New Roman"/>
        <family val="1"/>
      </rPr>
      <t>=</t>
    </r>
  </si>
  <si>
    <r>
      <t>Ms</t>
    </r>
    <r>
      <rPr>
        <sz val="8"/>
        <rFont val="Times New Roman"/>
        <family val="1"/>
      </rPr>
      <t>1H(l)</t>
    </r>
    <r>
      <rPr>
        <sz val="12"/>
        <rFont val="Times New Roman"/>
        <family val="1"/>
      </rPr>
      <t>=</t>
    </r>
  </si>
  <si>
    <r>
      <t>Ms</t>
    </r>
    <r>
      <rPr>
        <sz val="8"/>
        <rFont val="Times New Roman"/>
        <family val="1"/>
      </rPr>
      <t>1H(d)</t>
    </r>
    <r>
      <rPr>
        <sz val="12"/>
        <rFont val="Times New Roman"/>
        <family val="1"/>
      </rPr>
      <t>=</t>
    </r>
  </si>
  <si>
    <r>
      <t xml:space="preserve">Rezultuju}i momenti savijawa na vratilu </t>
    </r>
    <r>
      <rPr>
        <b/>
        <sz val="12"/>
        <rFont val="Times New Roman"/>
        <family val="1"/>
      </rPr>
      <t>II</t>
    </r>
  </si>
  <si>
    <r>
      <t>Ms</t>
    </r>
    <r>
      <rPr>
        <sz val="8"/>
        <rFont val="Times New Roman"/>
        <family val="1"/>
      </rPr>
      <t>1(l)</t>
    </r>
    <r>
      <rPr>
        <sz val="12"/>
        <rFont val="Times New Roman"/>
        <family val="1"/>
      </rPr>
      <t>=</t>
    </r>
  </si>
  <si>
    <r>
      <t>s</t>
    </r>
    <r>
      <rPr>
        <sz val="8"/>
        <rFont val="Times New Roman"/>
        <family val="1"/>
      </rPr>
      <t>D</t>
    </r>
    <r>
      <rPr>
        <sz val="8"/>
        <rFont val="Symbol"/>
        <family val="1"/>
      </rPr>
      <t>(-1)</t>
    </r>
    <r>
      <rPr>
        <sz val="12"/>
        <rFont val="Symbol"/>
        <family val="1"/>
      </rPr>
      <t>=</t>
    </r>
  </si>
  <si>
    <r>
      <t>t</t>
    </r>
    <r>
      <rPr>
        <sz val="8"/>
        <rFont val="Times New Roman"/>
        <family val="1"/>
      </rPr>
      <t>D(0)</t>
    </r>
    <r>
      <rPr>
        <sz val="12"/>
        <rFont val="Times New Roman"/>
        <family val="1"/>
      </rPr>
      <t>=</t>
    </r>
  </si>
  <si>
    <r>
      <t>s</t>
    </r>
    <r>
      <rPr>
        <sz val="12"/>
        <rFont val="Times New Roman"/>
        <family val="1"/>
      </rPr>
      <t>sd=</t>
    </r>
  </si>
  <si>
    <r>
      <t>t</t>
    </r>
    <r>
      <rPr>
        <sz val="12"/>
        <rFont val="Times New Roman"/>
        <family val="1"/>
      </rPr>
      <t>sd=</t>
    </r>
  </si>
  <si>
    <r>
      <t>a</t>
    </r>
    <r>
      <rPr>
        <sz val="8"/>
        <rFont val="Times New Roman"/>
        <family val="1"/>
      </rPr>
      <t>0</t>
    </r>
    <r>
      <rPr>
        <sz val="12"/>
        <rFont val="Times New Roman"/>
        <family val="1"/>
      </rPr>
      <t>=</t>
    </r>
  </si>
  <si>
    <r>
      <t xml:space="preserve">Ukupni momenti savijawa na vratilu </t>
    </r>
    <r>
      <rPr>
        <b/>
        <sz val="12"/>
        <rFont val="Times New Roman"/>
        <family val="1"/>
      </rPr>
      <t>II</t>
    </r>
  </si>
  <si>
    <r>
      <t>Mi</t>
    </r>
    <r>
      <rPr>
        <sz val="8"/>
        <rFont val="Times New Roman"/>
        <family val="1"/>
      </rPr>
      <t>S2</t>
    </r>
    <r>
      <rPr>
        <sz val="12"/>
        <rFont val="Times New Roman"/>
        <family val="1"/>
      </rPr>
      <t>=MiC=</t>
    </r>
  </si>
  <si>
    <r>
      <t>Mi</t>
    </r>
    <r>
      <rPr>
        <sz val="8"/>
        <rFont val="Times New Roman"/>
        <family val="1"/>
      </rPr>
      <t>2</t>
    </r>
    <r>
      <rPr>
        <sz val="12"/>
        <rFont val="Times New Roman"/>
        <family val="1"/>
      </rPr>
      <t>=</t>
    </r>
  </si>
  <si>
    <r>
      <t>di</t>
    </r>
    <r>
      <rPr>
        <sz val="8"/>
        <rFont val="Times New Roman"/>
        <family val="1"/>
      </rPr>
      <t>C</t>
    </r>
    <r>
      <rPr>
        <sz val="12"/>
        <rFont val="Times New Roman"/>
        <family val="1"/>
      </rPr>
      <t>=di</t>
    </r>
    <r>
      <rPr>
        <sz val="8"/>
        <rFont val="Times New Roman"/>
        <family val="1"/>
      </rPr>
      <t>S</t>
    </r>
    <r>
      <rPr>
        <sz val="12"/>
        <rFont val="Times New Roman"/>
        <family val="1"/>
      </rPr>
      <t>=</t>
    </r>
  </si>
  <si>
    <r>
      <t>di</t>
    </r>
    <r>
      <rPr>
        <sz val="8"/>
        <rFont val="Times New Roman"/>
        <family val="1"/>
      </rPr>
      <t>2</t>
    </r>
    <r>
      <rPr>
        <sz val="12"/>
        <rFont val="Times New Roman"/>
        <family val="1"/>
      </rPr>
      <t>=</t>
    </r>
  </si>
  <si>
    <r>
      <t>d</t>
    </r>
    <r>
      <rPr>
        <sz val="8"/>
        <rFont val="Times New Roman"/>
        <family val="1"/>
      </rPr>
      <t>C</t>
    </r>
    <r>
      <rPr>
        <sz val="12"/>
        <rFont val="Times New Roman"/>
        <family val="1"/>
      </rPr>
      <t>=d</t>
    </r>
    <r>
      <rPr>
        <sz val="8"/>
        <rFont val="Times New Roman"/>
        <family val="1"/>
      </rPr>
      <t>S</t>
    </r>
    <r>
      <rPr>
        <sz val="12"/>
        <rFont val="Times New Roman"/>
        <family val="1"/>
      </rPr>
      <t>=</t>
    </r>
  </si>
  <si>
    <r>
      <t>d</t>
    </r>
    <r>
      <rPr>
        <sz val="8"/>
        <rFont val="Times New Roman"/>
        <family val="1"/>
      </rPr>
      <t>2</t>
    </r>
    <r>
      <rPr>
        <sz val="12"/>
        <rFont val="Times New Roman"/>
        <family val="1"/>
      </rPr>
      <t>=</t>
    </r>
  </si>
  <si>
    <r>
      <t>d</t>
    </r>
    <r>
      <rPr>
        <sz val="8"/>
        <rFont val="Times New Roman"/>
        <family val="1"/>
      </rPr>
      <t>S</t>
    </r>
    <r>
      <rPr>
        <sz val="12"/>
        <rFont val="Times New Roman"/>
        <family val="1"/>
      </rPr>
      <t>=</t>
    </r>
  </si>
  <si>
    <r>
      <t>d</t>
    </r>
    <r>
      <rPr>
        <sz val="8"/>
        <rFont val="Times New Roman"/>
        <family val="1"/>
      </rPr>
      <t>C</t>
    </r>
    <r>
      <rPr>
        <sz val="12"/>
        <rFont val="Times New Roman"/>
        <family val="1"/>
      </rPr>
      <t>=d</t>
    </r>
    <r>
      <rPr>
        <sz val="8"/>
        <rFont val="Times New Roman"/>
        <family val="1"/>
      </rPr>
      <t>D</t>
    </r>
    <r>
      <rPr>
        <sz val="12"/>
        <rFont val="Times New Roman"/>
        <family val="1"/>
      </rPr>
      <t>=</t>
    </r>
  </si>
  <si>
    <r>
      <t>a</t>
    </r>
    <r>
      <rPr>
        <sz val="12"/>
        <rFont val="Times New Roman"/>
        <family val="1"/>
      </rPr>
      <t>k=</t>
    </r>
  </si>
  <si>
    <r>
      <t>h</t>
    </r>
    <r>
      <rPr>
        <sz val="12"/>
        <rFont val="Times New Roman"/>
        <family val="1"/>
      </rPr>
      <t>k=</t>
    </r>
  </si>
  <si>
    <r>
      <t>b</t>
    </r>
    <r>
      <rPr>
        <sz val="12"/>
        <rFont val="Times New Roman"/>
        <family val="1"/>
      </rPr>
      <t>k=</t>
    </r>
  </si>
  <si>
    <r>
      <t>x</t>
    </r>
    <r>
      <rPr>
        <sz val="8"/>
        <rFont val="Symbol"/>
        <family val="1"/>
      </rPr>
      <t>2</t>
    </r>
    <r>
      <rPr>
        <sz val="12"/>
        <rFont val="Times New Roman"/>
        <family val="1"/>
      </rPr>
      <t>=</t>
    </r>
  </si>
  <si>
    <r>
      <t>x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>=</t>
    </r>
  </si>
  <si>
    <r>
      <t>s</t>
    </r>
    <r>
      <rPr>
        <sz val="12"/>
        <rFont val="Times New Roman"/>
        <family val="1"/>
      </rPr>
      <t>s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>=</t>
    </r>
  </si>
  <si>
    <r>
      <t>t</t>
    </r>
    <r>
      <rPr>
        <sz val="12"/>
        <rFont val="Times New Roman"/>
        <family val="1"/>
      </rPr>
      <t>u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>=</t>
    </r>
  </si>
  <si>
    <r>
      <t>S</t>
    </r>
    <r>
      <rPr>
        <sz val="12"/>
        <rFont val="Symbol"/>
        <family val="1"/>
      </rPr>
      <t>s</t>
    </r>
    <r>
      <rPr>
        <sz val="12"/>
        <rFont val="Times New Roman"/>
        <family val="1"/>
      </rPr>
      <t>=</t>
    </r>
  </si>
  <si>
    <r>
      <t>t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>=</t>
    </r>
  </si>
  <si>
    <r>
      <t>t</t>
    </r>
    <r>
      <rPr>
        <sz val="12"/>
        <rFont val="Times New Roman"/>
        <family val="1"/>
      </rPr>
      <t>d=</t>
    </r>
  </si>
  <si>
    <r>
      <t>t</t>
    </r>
    <r>
      <rPr>
        <sz val="12"/>
        <rFont val="Times New Roman"/>
        <family val="1"/>
      </rPr>
      <t>s=</t>
    </r>
  </si>
  <si>
    <t xml:space="preserve">Tip le`aja  </t>
  </si>
  <si>
    <t>Radijalna sila</t>
  </si>
  <si>
    <t>Fr=</t>
  </si>
  <si>
    <t>kN</t>
  </si>
  <si>
    <t>Aksijalna sila</t>
  </si>
  <si>
    <t>Fa=</t>
  </si>
  <si>
    <t>Radni broj obrtaja</t>
  </si>
  <si>
    <t>o/min</t>
  </si>
  <si>
    <t>Pre~nik vratlia na mestu le`aja</t>
  </si>
  <si>
    <t>Potreban radni vek</t>
  </si>
  <si>
    <t>L=</t>
  </si>
  <si>
    <t>h</t>
  </si>
  <si>
    <t>Radna temperatura</t>
  </si>
  <si>
    <t>C</t>
  </si>
  <si>
    <t xml:space="preserve">Dinami~ka mo} no{ewa </t>
  </si>
  <si>
    <t>C=</t>
  </si>
  <si>
    <t>e=</t>
  </si>
  <si>
    <t>Fa/Fr=</t>
  </si>
  <si>
    <t xml:space="preserve">Po{to je:      </t>
  </si>
  <si>
    <t>sledi:</t>
  </si>
  <si>
    <t>X=</t>
  </si>
  <si>
    <t>Y=</t>
  </si>
  <si>
    <t>Ekvivalentno optere}ewe</t>
  </si>
  <si>
    <t>F=</t>
  </si>
  <si>
    <t>Faktor temperature</t>
  </si>
  <si>
    <t>Vek le`aja</t>
  </si>
  <si>
    <t>Lh=</t>
  </si>
  <si>
    <t xml:space="preserve">Le`aj   </t>
  </si>
  <si>
    <t xml:space="preserve">USVAJAM LE@AJ:   </t>
  </si>
  <si>
    <t>d=</t>
  </si>
  <si>
    <t>D=</t>
  </si>
  <si>
    <t>B=</t>
  </si>
  <si>
    <r>
      <t xml:space="preserve">PRORA^UN LE@AJA ZA VRATILO </t>
    </r>
    <r>
      <rPr>
        <b/>
        <sz val="12"/>
        <rFont val="Times New Roman"/>
        <family val="1"/>
      </rPr>
      <t>I</t>
    </r>
  </si>
  <si>
    <r>
      <t>d</t>
    </r>
    <r>
      <rPr>
        <sz val="8"/>
        <rFont val="Times New Roman"/>
        <family val="1"/>
      </rPr>
      <t>A</t>
    </r>
    <r>
      <rPr>
        <sz val="12"/>
        <rFont val="Times New Roman"/>
        <family val="1"/>
      </rPr>
      <t>=d</t>
    </r>
    <r>
      <rPr>
        <sz val="8"/>
        <rFont val="Times New Roman"/>
        <family val="1"/>
      </rPr>
      <t>B</t>
    </r>
    <r>
      <rPr>
        <sz val="12"/>
        <rFont val="Times New Roman"/>
        <family val="1"/>
      </rPr>
      <t>=</t>
    </r>
  </si>
  <si>
    <r>
      <t>f</t>
    </r>
    <r>
      <rPr>
        <sz val="8"/>
        <rFont val="Times New Roman"/>
        <family val="1"/>
      </rPr>
      <t>t</t>
    </r>
    <r>
      <rPr>
        <sz val="12"/>
        <rFont val="Times New Roman"/>
        <family val="1"/>
      </rPr>
      <t>=</t>
    </r>
  </si>
  <si>
    <r>
      <t>a</t>
    </r>
    <r>
      <rPr>
        <sz val="12"/>
        <rFont val="Times New Roman"/>
        <family val="1"/>
      </rPr>
      <t>=</t>
    </r>
  </si>
  <si>
    <r>
      <t xml:space="preserve">Dimenzije le`aja prema   </t>
    </r>
    <r>
      <rPr>
        <sz val="12"/>
        <rFont val="Times New Roman"/>
        <family val="1"/>
      </rPr>
      <t>JUS.M.C3.611</t>
    </r>
  </si>
  <si>
    <r>
      <t>r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>=</t>
    </r>
  </si>
  <si>
    <r>
      <t xml:space="preserve">PRORA^UN LE@AJA ZA VRATILO </t>
    </r>
    <r>
      <rPr>
        <b/>
        <sz val="12"/>
        <rFont val="Times New Roman"/>
        <family val="1"/>
      </rPr>
      <t>II</t>
    </r>
  </si>
  <si>
    <r>
      <t xml:space="preserve">PRORA^UN VRATILA </t>
    </r>
    <r>
      <rPr>
        <b/>
        <sz val="12"/>
        <rFont val="Times New Roman"/>
        <family val="1"/>
      </rPr>
      <t xml:space="preserve"> I</t>
    </r>
  </si>
  <si>
    <r>
      <t xml:space="preserve">Broj obrtaja vratila </t>
    </r>
    <r>
      <rPr>
        <sz val="12"/>
        <rFont val="Times New Roman"/>
        <family val="1"/>
      </rPr>
      <t>I</t>
    </r>
  </si>
  <si>
    <r>
      <t>d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>=</t>
    </r>
  </si>
  <si>
    <r>
      <t xml:space="preserve">Obrtni moment merodavan za prora~un vratila </t>
    </r>
    <r>
      <rPr>
        <sz val="12"/>
        <rFont val="Times New Roman"/>
        <family val="1"/>
      </rPr>
      <t>I</t>
    </r>
  </si>
  <si>
    <r>
      <t>T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>=</t>
    </r>
  </si>
  <si>
    <r>
      <t>Ft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>=</t>
    </r>
  </si>
  <si>
    <r>
      <t>Fr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>=</t>
    </r>
  </si>
  <si>
    <r>
      <t>Fa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>=</t>
    </r>
  </si>
  <si>
    <r>
      <t xml:space="preserve">Otpori oslonca na vratilu </t>
    </r>
    <r>
      <rPr>
        <b/>
        <sz val="12"/>
        <rFont val="Times New Roman"/>
        <family val="1"/>
      </rPr>
      <t>I</t>
    </r>
  </si>
  <si>
    <r>
      <t>F</t>
    </r>
    <r>
      <rPr>
        <sz val="8"/>
        <rFont val="Times New Roman"/>
        <family val="1"/>
      </rPr>
      <t>AV</t>
    </r>
    <r>
      <rPr>
        <sz val="12"/>
        <rFont val="Times New Roman"/>
        <family val="1"/>
      </rPr>
      <t>=</t>
    </r>
  </si>
  <si>
    <r>
      <t>F</t>
    </r>
    <r>
      <rPr>
        <sz val="8"/>
        <rFont val="Times New Roman"/>
        <family val="1"/>
      </rPr>
      <t>BV</t>
    </r>
    <r>
      <rPr>
        <sz val="12"/>
        <rFont val="Times New Roman"/>
        <family val="1"/>
      </rPr>
      <t>=</t>
    </r>
  </si>
  <si>
    <r>
      <t>F</t>
    </r>
    <r>
      <rPr>
        <sz val="8"/>
        <rFont val="Times New Roman"/>
        <family val="1"/>
      </rPr>
      <t>AH</t>
    </r>
    <r>
      <rPr>
        <sz val="12"/>
        <rFont val="Times New Roman"/>
        <family val="1"/>
      </rPr>
      <t>=</t>
    </r>
  </si>
  <si>
    <r>
      <t>F</t>
    </r>
    <r>
      <rPr>
        <sz val="8"/>
        <rFont val="Times New Roman"/>
        <family val="1"/>
      </rPr>
      <t>BH</t>
    </r>
    <r>
      <rPr>
        <sz val="12"/>
        <rFont val="Times New Roman"/>
        <family val="1"/>
      </rPr>
      <t>=</t>
    </r>
  </si>
  <si>
    <r>
      <t xml:space="preserve">Momenti savijawa na vratilu </t>
    </r>
    <r>
      <rPr>
        <b/>
        <sz val="12"/>
        <rFont val="Times New Roman"/>
        <family val="1"/>
      </rPr>
      <t>I</t>
    </r>
  </si>
  <si>
    <r>
      <t xml:space="preserve">Rezultuju}i momenti savijawa na vratilu </t>
    </r>
    <r>
      <rPr>
        <b/>
        <sz val="12"/>
        <rFont val="Times New Roman"/>
        <family val="1"/>
      </rPr>
      <t>I</t>
    </r>
  </si>
  <si>
    <r>
      <t xml:space="preserve">Ukupni momenti savijawa na vratilu </t>
    </r>
    <r>
      <rPr>
        <b/>
        <sz val="12"/>
        <rFont val="Times New Roman"/>
        <family val="1"/>
      </rPr>
      <t>I</t>
    </r>
  </si>
  <si>
    <r>
      <t>Mi</t>
    </r>
    <r>
      <rPr>
        <sz val="8"/>
        <rFont val="Times New Roman"/>
        <family val="1"/>
      </rPr>
      <t>S1</t>
    </r>
    <r>
      <rPr>
        <sz val="12"/>
        <rFont val="Times New Roman"/>
        <family val="1"/>
      </rPr>
      <t>=Mi</t>
    </r>
    <r>
      <rPr>
        <sz val="8"/>
        <rFont val="Times New Roman"/>
        <family val="1"/>
      </rPr>
      <t>A</t>
    </r>
    <r>
      <rPr>
        <sz val="12"/>
        <rFont val="Times New Roman"/>
        <family val="1"/>
      </rPr>
      <t>=</t>
    </r>
  </si>
  <si>
    <r>
      <t>Mi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>=</t>
    </r>
  </si>
  <si>
    <r>
      <t>di</t>
    </r>
    <r>
      <rPr>
        <sz val="8"/>
        <rFont val="Times New Roman"/>
        <family val="1"/>
      </rPr>
      <t>A</t>
    </r>
    <r>
      <rPr>
        <sz val="12"/>
        <rFont val="Times New Roman"/>
        <family val="1"/>
      </rPr>
      <t>=di</t>
    </r>
    <r>
      <rPr>
        <sz val="8"/>
        <rFont val="Times New Roman"/>
        <family val="1"/>
      </rPr>
      <t>S</t>
    </r>
    <r>
      <rPr>
        <sz val="12"/>
        <rFont val="Times New Roman"/>
        <family val="1"/>
      </rPr>
      <t>=</t>
    </r>
  </si>
  <si>
    <r>
      <t>di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>=</t>
    </r>
  </si>
  <si>
    <r>
      <t>d</t>
    </r>
    <r>
      <rPr>
        <sz val="8"/>
        <rFont val="Times New Roman"/>
        <family val="1"/>
      </rPr>
      <t>A</t>
    </r>
    <r>
      <rPr>
        <sz val="12"/>
        <rFont val="Times New Roman"/>
        <family val="1"/>
      </rPr>
      <t>=d</t>
    </r>
    <r>
      <rPr>
        <sz val="8"/>
        <rFont val="Times New Roman"/>
        <family val="1"/>
      </rPr>
      <t>S</t>
    </r>
    <r>
      <rPr>
        <sz val="12"/>
        <rFont val="Times New Roman"/>
        <family val="1"/>
      </rPr>
      <t>=</t>
    </r>
  </si>
  <si>
    <r>
      <t>d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>=</t>
    </r>
  </si>
  <si>
    <t>PRORACUN JEDNOSTEPENOG REDUKTORA</t>
  </si>
  <si>
    <t>ALEKSANDRA DOBROSAVLJEVIC</t>
  </si>
  <si>
    <t xml:space="preserve">                   POLAZNI PODACI</t>
  </si>
  <si>
    <t>SNAGA</t>
  </si>
  <si>
    <t>P= 34 KW</t>
  </si>
  <si>
    <t>BROJ OBRTAJA POGONSKOG ZUPCANIKA</t>
  </si>
  <si>
    <t>n1= 1420 MIN-1</t>
  </si>
  <si>
    <t>PRENOSNI ODNOS</t>
  </si>
  <si>
    <t>u= 2.8</t>
  </si>
  <si>
    <t>BROJ ZUBACA POGONSKOG ZUPCANIKA</t>
  </si>
  <si>
    <t>Z1= 17</t>
  </si>
  <si>
    <t>UGAO NAGIBA BOCNE LINIJE ZUBACA</t>
  </si>
  <si>
    <t>SMER BOCNE LINIJE POGONSKOG ZUPCANIKA</t>
  </si>
  <si>
    <t>LEVI</t>
  </si>
  <si>
    <t>FAKTOR SIRINE ZUPCANIKA</t>
  </si>
  <si>
    <t>f= 0.5</t>
  </si>
  <si>
    <t>KVALITET IZRADE ZUPCANIKA</t>
  </si>
  <si>
    <t>IT= 7</t>
  </si>
  <si>
    <t>MATERIJAL IZRADE ZUPCANIKA</t>
  </si>
  <si>
    <t>C.5421</t>
  </si>
  <si>
    <t>VRSTA POGONSKE MASINA</t>
  </si>
  <si>
    <t>ELEKTROMOTOR</t>
  </si>
  <si>
    <t>OPTERECENJE RADNE MASINE</t>
  </si>
  <si>
    <t>SA UMERENIM UDARCIMA</t>
  </si>
  <si>
    <t xml:space="preserve">POLOZAJ ZUPCANIKA IZMEDJU LEZISTA </t>
  </si>
  <si>
    <t>SIMETRICAN</t>
  </si>
  <si>
    <t>STEPEN SIGURNOSTI</t>
  </si>
  <si>
    <t>s= 1.5</t>
  </si>
  <si>
    <t>UGAO NAGIBA PROFILA</t>
  </si>
  <si>
    <t>MATERIJAL VRATILA</t>
  </si>
  <si>
    <t>C.0460</t>
  </si>
  <si>
    <t>RASTOJANJE IZMEDJU LEZAJA</t>
  </si>
  <si>
    <t>li = 47.5</t>
  </si>
  <si>
    <r>
      <t xml:space="preserve">b0 </t>
    </r>
    <r>
      <rPr>
        <sz val="10"/>
        <rFont val="Arial"/>
        <family val="2"/>
      </rPr>
      <t xml:space="preserve">= 8 </t>
    </r>
  </si>
  <si>
    <r>
      <t xml:space="preserve">a </t>
    </r>
    <r>
      <rPr>
        <sz val="10"/>
        <rFont val="Arial"/>
        <family val="2"/>
      </rPr>
      <t>n= 20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</si>
</sst>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</numFmts>
  <fonts count="22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Roman Cirilica"/>
      <family val="2"/>
    </font>
    <font>
      <b/>
      <sz val="12"/>
      <name val="Times Roman Cirilica"/>
      <family val="2"/>
    </font>
    <font>
      <sz val="12"/>
      <name val="Times Roman Cirilica"/>
      <family val="2"/>
    </font>
    <font>
      <sz val="8"/>
      <name val="Times New Roman"/>
      <family val="1"/>
    </font>
    <font>
      <sz val="12"/>
      <name val="Symbol"/>
      <family val="1"/>
    </font>
    <font>
      <sz val="12"/>
      <color indexed="12"/>
      <name val="Symbol"/>
      <family val="1"/>
    </font>
    <font>
      <sz val="12"/>
      <name val="Times YU"/>
      <family val="1"/>
    </font>
    <font>
      <sz val="12"/>
      <color indexed="12"/>
      <name val="Times New Roman"/>
      <family val="1"/>
    </font>
    <font>
      <sz val="8"/>
      <name val="Symbol"/>
      <family val="1"/>
    </font>
    <font>
      <sz val="10"/>
      <name val="Times New Roman"/>
      <family val="1"/>
    </font>
    <font>
      <sz val="8"/>
      <name val="Times Roman Cirilica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10"/>
      <name val="Times Roman Cirilica"/>
      <family val="2"/>
    </font>
    <font>
      <sz val="12"/>
      <color indexed="9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sz val="10"/>
      <name val="Mathematica1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2" borderId="0" xfId="19" applyFont="1" applyFill="1" applyProtection="1">
      <alignment/>
      <protection hidden="1"/>
    </xf>
    <xf numFmtId="0" fontId="1" fillId="2" borderId="0" xfId="19" applyFont="1" applyFill="1" applyAlignment="1" applyProtection="1">
      <alignment horizontal="right"/>
      <protection hidden="1"/>
    </xf>
    <xf numFmtId="0" fontId="1" fillId="2" borderId="0" xfId="19" applyFont="1" applyFill="1" applyAlignment="1" applyProtection="1">
      <alignment horizontal="left"/>
      <protection hidden="1"/>
    </xf>
    <xf numFmtId="0" fontId="2" fillId="2" borderId="0" xfId="19" applyFont="1" applyFill="1" applyAlignment="1" applyProtection="1">
      <alignment horizontal="center"/>
      <protection hidden="1"/>
    </xf>
    <xf numFmtId="0" fontId="4" fillId="2" borderId="0" xfId="19" applyFont="1" applyFill="1" applyAlignment="1" applyProtection="1">
      <alignment horizontal="left"/>
      <protection hidden="1"/>
    </xf>
    <xf numFmtId="0" fontId="3" fillId="2" borderId="0" xfId="19" applyFont="1" applyFill="1" applyAlignment="1" applyProtection="1">
      <alignment horizontal="left"/>
      <protection hidden="1"/>
    </xf>
    <xf numFmtId="0" fontId="6" fillId="2" borderId="0" xfId="19" applyFont="1" applyFill="1" applyAlignment="1" applyProtection="1">
      <alignment horizontal="right"/>
      <protection hidden="1"/>
    </xf>
    <xf numFmtId="0" fontId="6" fillId="2" borderId="0" xfId="19" applyFont="1" applyFill="1" applyProtection="1">
      <alignment/>
      <protection hidden="1"/>
    </xf>
    <xf numFmtId="0" fontId="7" fillId="2" borderId="0" xfId="19" applyFont="1" applyFill="1" applyAlignment="1" applyProtection="1">
      <alignment horizontal="center"/>
      <protection hidden="1"/>
    </xf>
    <xf numFmtId="0" fontId="8" fillId="2" borderId="0" xfId="19" applyFont="1" applyFill="1" applyAlignment="1" applyProtection="1">
      <alignment horizontal="left"/>
      <protection hidden="1"/>
    </xf>
    <xf numFmtId="0" fontId="9" fillId="2" borderId="0" xfId="19" applyFont="1" applyFill="1" applyAlignment="1" applyProtection="1">
      <alignment horizontal="center"/>
      <protection hidden="1"/>
    </xf>
    <xf numFmtId="0" fontId="1" fillId="2" borderId="1" xfId="19" applyFont="1" applyFill="1" applyBorder="1" applyAlignment="1" applyProtection="1">
      <alignment horizontal="right"/>
      <protection hidden="1"/>
    </xf>
    <xf numFmtId="0" fontId="4" fillId="2" borderId="2" xfId="19" applyFont="1" applyFill="1" applyBorder="1" applyAlignment="1" applyProtection="1">
      <alignment horizontal="center"/>
      <protection hidden="1"/>
    </xf>
    <xf numFmtId="0" fontId="1" fillId="2" borderId="3" xfId="19" applyFont="1" applyFill="1" applyBorder="1" applyProtection="1">
      <alignment/>
      <protection hidden="1"/>
    </xf>
    <xf numFmtId="0" fontId="1" fillId="2" borderId="0" xfId="19" applyFont="1" applyFill="1" applyAlignment="1" applyProtection="1">
      <alignment horizontal="right"/>
      <protection hidden="1"/>
    </xf>
    <xf numFmtId="0" fontId="1" fillId="2" borderId="0" xfId="19" applyFont="1" applyFill="1" applyAlignment="1" applyProtection="1">
      <alignment horizontal="left"/>
      <protection hidden="1"/>
    </xf>
    <xf numFmtId="0" fontId="3" fillId="2" borderId="0" xfId="19" applyFont="1" applyFill="1" applyAlignment="1" applyProtection="1">
      <alignment horizontal="center"/>
      <protection hidden="1"/>
    </xf>
    <xf numFmtId="0" fontId="13" fillId="2" borderId="0" xfId="19" applyFont="1" applyFill="1" applyAlignment="1" applyProtection="1">
      <alignment horizontal="right"/>
      <protection hidden="1"/>
    </xf>
    <xf numFmtId="0" fontId="13" fillId="2" borderId="0" xfId="19" applyFont="1" applyFill="1" applyAlignment="1" applyProtection="1">
      <alignment horizontal="left"/>
      <protection hidden="1"/>
    </xf>
    <xf numFmtId="0" fontId="3" fillId="2" borderId="0" xfId="19" applyFont="1" applyFill="1" applyAlignment="1" applyProtection="1">
      <alignment horizontal="left"/>
      <protection hidden="1"/>
    </xf>
    <xf numFmtId="0" fontId="4" fillId="2" borderId="0" xfId="19" applyFont="1" applyFill="1" applyAlignment="1" applyProtection="1">
      <alignment horizontal="right"/>
      <protection hidden="1"/>
    </xf>
    <xf numFmtId="0" fontId="1" fillId="2" borderId="0" xfId="19" applyFill="1" applyProtection="1">
      <alignment/>
      <protection hidden="1"/>
    </xf>
    <xf numFmtId="0" fontId="1" fillId="2" borderId="0" xfId="19" applyFill="1" applyAlignment="1" applyProtection="1">
      <alignment horizontal="right"/>
      <protection hidden="1"/>
    </xf>
    <xf numFmtId="0" fontId="1" fillId="2" borderId="0" xfId="19" applyFill="1" applyAlignment="1" applyProtection="1">
      <alignment horizontal="left"/>
      <protection hidden="1"/>
    </xf>
    <xf numFmtId="0" fontId="4" fillId="2" borderId="0" xfId="19" applyFont="1" applyFill="1" applyProtection="1">
      <alignment/>
      <protection hidden="1"/>
    </xf>
    <xf numFmtId="0" fontId="3" fillId="2" borderId="0" xfId="19" applyFont="1" applyFill="1" applyProtection="1">
      <alignment/>
      <protection hidden="1"/>
    </xf>
    <xf numFmtId="0" fontId="8" fillId="2" borderId="0" xfId="19" applyNumberFormat="1" applyFont="1" applyFill="1" applyAlignment="1" applyProtection="1">
      <alignment horizontal="right"/>
      <protection hidden="1"/>
    </xf>
    <xf numFmtId="0" fontId="4" fillId="2" borderId="0" xfId="19" applyFont="1" applyFill="1" applyProtection="1">
      <alignment/>
      <protection hidden="1"/>
    </xf>
    <xf numFmtId="0" fontId="15" fillId="2" borderId="0" xfId="19" applyFont="1" applyFill="1" applyProtection="1">
      <alignment/>
      <protection hidden="1"/>
    </xf>
    <xf numFmtId="0" fontId="13" fillId="2" borderId="0" xfId="19" applyFont="1" applyFill="1" applyProtection="1">
      <alignment/>
      <protection hidden="1"/>
    </xf>
    <xf numFmtId="0" fontId="8" fillId="2" borderId="0" xfId="19" applyNumberFormat="1" applyFont="1" applyFill="1" applyAlignment="1" applyProtection="1">
      <alignment horizontal="right"/>
      <protection hidden="1"/>
    </xf>
    <xf numFmtId="0" fontId="1" fillId="2" borderId="4" xfId="19" applyFill="1" applyBorder="1" applyAlignment="1" applyProtection="1">
      <alignment horizontal="center"/>
      <protection hidden="1"/>
    </xf>
    <xf numFmtId="0" fontId="1" fillId="2" borderId="0" xfId="19" applyFont="1" applyFill="1" applyProtection="1">
      <alignment/>
      <protection hidden="1"/>
    </xf>
    <xf numFmtId="0" fontId="1" fillId="2" borderId="1" xfId="19" applyFill="1" applyBorder="1" applyProtection="1">
      <alignment/>
      <protection hidden="1"/>
    </xf>
    <xf numFmtId="0" fontId="3" fillId="2" borderId="2" xfId="19" applyFont="1" applyFill="1" applyBorder="1" applyAlignment="1" applyProtection="1">
      <alignment horizontal="center"/>
      <protection hidden="1"/>
    </xf>
    <xf numFmtId="0" fontId="3" fillId="2" borderId="0" xfId="19" applyFont="1" applyFill="1" applyProtection="1">
      <alignment/>
      <protection hidden="1"/>
    </xf>
    <xf numFmtId="0" fontId="16" fillId="2" borderId="0" xfId="19" applyFont="1" applyFill="1" applyProtection="1">
      <alignment/>
      <protection hidden="1"/>
    </xf>
    <xf numFmtId="0" fontId="1" fillId="2" borderId="3" xfId="19" applyFill="1" applyBorder="1" applyProtection="1">
      <alignment/>
      <protection hidden="1"/>
    </xf>
    <xf numFmtId="0" fontId="1" fillId="2" borderId="1" xfId="19" applyFill="1" applyBorder="1" applyAlignment="1" applyProtection="1">
      <alignment horizontal="right"/>
      <protection hidden="1"/>
    </xf>
    <xf numFmtId="0" fontId="3" fillId="2" borderId="0" xfId="19" applyFont="1" applyFill="1" applyBorder="1" applyProtection="1">
      <alignment/>
      <protection hidden="1"/>
    </xf>
    <xf numFmtId="0" fontId="14" fillId="2" borderId="0" xfId="19" applyFont="1" applyFill="1" applyBorder="1" applyAlignment="1" applyProtection="1">
      <alignment horizontal="right"/>
      <protection hidden="1"/>
    </xf>
    <xf numFmtId="0" fontId="14" fillId="2" borderId="0" xfId="19" applyFont="1" applyFill="1" applyBorder="1" applyAlignment="1" applyProtection="1">
      <alignment horizontal="left"/>
      <protection hidden="1"/>
    </xf>
    <xf numFmtId="0" fontId="1" fillId="2" borderId="0" xfId="19" applyFill="1" applyBorder="1" applyProtection="1">
      <alignment/>
      <protection hidden="1"/>
    </xf>
    <xf numFmtId="0" fontId="14" fillId="2" borderId="0" xfId="19" applyFont="1" applyFill="1" applyAlignment="1" applyProtection="1">
      <alignment horizontal="center"/>
      <protection hidden="1"/>
    </xf>
    <xf numFmtId="0" fontId="9" fillId="2" borderId="0" xfId="19" applyFont="1" applyFill="1" applyAlignment="1" applyProtection="1">
      <alignment horizontal="left"/>
      <protection hidden="1"/>
    </xf>
    <xf numFmtId="0" fontId="13" fillId="2" borderId="0" xfId="19" applyFont="1" applyFill="1" applyAlignment="1" applyProtection="1">
      <alignment horizontal="left"/>
      <protection hidden="1"/>
    </xf>
    <xf numFmtId="0" fontId="4" fillId="2" borderId="0" xfId="19" applyFont="1" applyFill="1" applyAlignment="1" applyProtection="1">
      <alignment horizontal="left"/>
      <protection hidden="1"/>
    </xf>
    <xf numFmtId="0" fontId="4" fillId="2" borderId="0" xfId="19" applyFont="1" applyFill="1" applyAlignment="1" applyProtection="1">
      <alignment horizontal="right"/>
      <protection hidden="1"/>
    </xf>
    <xf numFmtId="0" fontId="1" fillId="2" borderId="1" xfId="19" applyFont="1" applyFill="1" applyBorder="1" applyProtection="1">
      <alignment/>
      <protection hidden="1"/>
    </xf>
    <xf numFmtId="0" fontId="4" fillId="2" borderId="2" xfId="19" applyFont="1" applyFill="1" applyBorder="1" applyAlignment="1" applyProtection="1">
      <alignment horizontal="center"/>
      <protection hidden="1"/>
    </xf>
    <xf numFmtId="0" fontId="14" fillId="2" borderId="0" xfId="19" applyFont="1" applyFill="1" applyAlignment="1" applyProtection="1">
      <alignment horizontal="right"/>
      <protection hidden="1"/>
    </xf>
    <xf numFmtId="0" fontId="0" fillId="3" borderId="0" xfId="0" applyFill="1" applyAlignment="1">
      <alignment/>
    </xf>
    <xf numFmtId="0" fontId="19" fillId="3" borderId="0" xfId="0" applyFont="1" applyFill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20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18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0" fontId="19" fillId="2" borderId="8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3" fillId="2" borderId="0" xfId="19" applyFont="1" applyFill="1" applyBorder="1" applyAlignment="1" applyProtection="1">
      <alignment horizontal="center"/>
      <protection hidden="1"/>
    </xf>
    <xf numFmtId="0" fontId="1" fillId="0" borderId="0" xfId="19" applyAlignment="1" applyProtection="1">
      <alignment/>
      <protection hidden="1"/>
    </xf>
    <xf numFmtId="0" fontId="3" fillId="2" borderId="0" xfId="19" applyFont="1" applyFill="1" applyBorder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roracun REDUKTOR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LFIRE%202.0\proracun%20REDUKTO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LAZNI PODACI (2)"/>
      <sheetName val="PRORACUN VRATILA I (2)"/>
      <sheetName val="POLAZNI PODACI"/>
      <sheetName val="PRORACUN ZUPCANIKA"/>
      <sheetName val="PRORACUN VRATILA II"/>
      <sheetName val="PRORACUN LEZAJA"/>
      <sheetName val="BAZA PODATAKA"/>
    </sheetNames>
    <sheetDataSet>
      <sheetData sheetId="0">
        <row r="12">
          <cell r="E12">
            <v>34</v>
          </cell>
        </row>
        <row r="14">
          <cell r="E14">
            <v>1420</v>
          </cell>
        </row>
        <row r="16">
          <cell r="E16">
            <v>2.8</v>
          </cell>
        </row>
        <row r="18">
          <cell r="E18">
            <v>17</v>
          </cell>
        </row>
        <row r="20">
          <cell r="E20">
            <v>8</v>
          </cell>
        </row>
        <row r="22">
          <cell r="E22">
            <v>1</v>
          </cell>
        </row>
        <row r="24">
          <cell r="E24">
            <v>0.5</v>
          </cell>
        </row>
        <row r="26">
          <cell r="E26">
            <v>0</v>
          </cell>
        </row>
        <row r="28">
          <cell r="E28">
            <v>0</v>
          </cell>
        </row>
        <row r="32">
          <cell r="E32">
            <v>11</v>
          </cell>
        </row>
        <row r="40">
          <cell r="E40">
            <v>1.5</v>
          </cell>
        </row>
        <row r="42">
          <cell r="E42">
            <v>20</v>
          </cell>
        </row>
        <row r="46">
          <cell r="E46">
            <v>3</v>
          </cell>
        </row>
        <row r="52">
          <cell r="E52">
            <v>4</v>
          </cell>
        </row>
        <row r="54">
          <cell r="E54">
            <v>3</v>
          </cell>
        </row>
        <row r="58">
          <cell r="E58">
            <v>10000</v>
          </cell>
        </row>
        <row r="64">
          <cell r="D64">
            <v>1</v>
          </cell>
          <cell r="E64">
            <v>1</v>
          </cell>
        </row>
        <row r="74">
          <cell r="E74">
            <v>1</v>
          </cell>
        </row>
      </sheetData>
      <sheetData sheetId="1">
        <row r="6">
          <cell r="D6">
            <v>1420</v>
          </cell>
        </row>
        <row r="22">
          <cell r="D22">
            <v>2447</v>
          </cell>
        </row>
        <row r="23">
          <cell r="D23">
            <v>936</v>
          </cell>
        </row>
        <row r="41">
          <cell r="D41">
            <v>190</v>
          </cell>
        </row>
        <row r="42">
          <cell r="D42">
            <v>150</v>
          </cell>
        </row>
        <row r="64">
          <cell r="D64">
            <v>40</v>
          </cell>
        </row>
        <row r="93">
          <cell r="D93">
            <v>40</v>
          </cell>
        </row>
      </sheetData>
      <sheetData sheetId="2">
        <row r="46">
          <cell r="E46">
            <v>3</v>
          </cell>
        </row>
        <row r="52">
          <cell r="E52">
            <v>4</v>
          </cell>
        </row>
        <row r="54">
          <cell r="E54">
            <v>3</v>
          </cell>
        </row>
        <row r="72">
          <cell r="E72">
            <v>1</v>
          </cell>
        </row>
      </sheetData>
      <sheetData sheetId="3">
        <row r="6">
          <cell r="D6">
            <v>34</v>
          </cell>
        </row>
        <row r="7">
          <cell r="D7">
            <v>1420</v>
          </cell>
        </row>
        <row r="10">
          <cell r="D10">
            <v>8</v>
          </cell>
        </row>
        <row r="17">
          <cell r="D17">
            <v>1.25</v>
          </cell>
        </row>
        <row r="21">
          <cell r="D21">
            <v>20</v>
          </cell>
        </row>
        <row r="108">
          <cell r="D108">
            <v>44</v>
          </cell>
        </row>
        <row r="112">
          <cell r="D112">
            <v>85.8354</v>
          </cell>
        </row>
      </sheetData>
      <sheetData sheetId="5">
        <row r="32">
          <cell r="D32">
            <v>23</v>
          </cell>
        </row>
      </sheetData>
      <sheetData sheetId="6">
        <row r="4">
          <cell r="J4">
            <v>1</v>
          </cell>
          <cell r="K4" t="str">
            <v>C.1220</v>
          </cell>
          <cell r="L4">
            <v>300</v>
          </cell>
          <cell r="M4">
            <v>220</v>
          </cell>
        </row>
        <row r="5">
          <cell r="J5">
            <v>2</v>
          </cell>
          <cell r="K5" t="str">
            <v>C.1530</v>
          </cell>
          <cell r="L5">
            <v>300</v>
          </cell>
          <cell r="M5">
            <v>230</v>
          </cell>
        </row>
        <row r="6">
          <cell r="J6">
            <v>3</v>
          </cell>
          <cell r="K6" t="str">
            <v>C.0460</v>
          </cell>
          <cell r="L6">
            <v>190</v>
          </cell>
          <cell r="M6">
            <v>150</v>
          </cell>
          <cell r="AI6">
            <v>40</v>
          </cell>
        </row>
        <row r="7">
          <cell r="J7">
            <v>4</v>
          </cell>
          <cell r="K7" t="str">
            <v>C.0545</v>
          </cell>
          <cell r="L7">
            <v>220</v>
          </cell>
          <cell r="M7">
            <v>170</v>
          </cell>
          <cell r="Y7">
            <v>44</v>
          </cell>
        </row>
        <row r="8">
          <cell r="F8">
            <v>35</v>
          </cell>
          <cell r="J8">
            <v>5</v>
          </cell>
          <cell r="K8" t="str">
            <v>C.0645</v>
          </cell>
          <cell r="L8">
            <v>280</v>
          </cell>
          <cell r="M8">
            <v>200</v>
          </cell>
        </row>
        <row r="9">
          <cell r="J9">
            <v>6</v>
          </cell>
          <cell r="K9" t="str">
            <v>C.0745</v>
          </cell>
          <cell r="L9">
            <v>300</v>
          </cell>
          <cell r="M9">
            <v>220</v>
          </cell>
        </row>
        <row r="11">
          <cell r="F11">
            <v>40</v>
          </cell>
          <cell r="Q11">
            <v>7</v>
          </cell>
          <cell r="R11">
            <v>1.04</v>
          </cell>
          <cell r="S11">
            <v>1.08</v>
          </cell>
        </row>
        <row r="12">
          <cell r="AI12">
            <v>63</v>
          </cell>
        </row>
        <row r="15">
          <cell r="J15">
            <v>1</v>
          </cell>
          <cell r="K15" t="str">
            <v>C.1331</v>
          </cell>
          <cell r="L15">
            <v>480</v>
          </cell>
          <cell r="M15">
            <v>192</v>
          </cell>
        </row>
        <row r="16">
          <cell r="J16">
            <v>2</v>
          </cell>
          <cell r="K16" t="str">
            <v>C.1530</v>
          </cell>
          <cell r="L16">
            <v>520</v>
          </cell>
          <cell r="M16">
            <v>205</v>
          </cell>
        </row>
        <row r="17">
          <cell r="J17">
            <v>3</v>
          </cell>
          <cell r="K17" t="str">
            <v>C.1731</v>
          </cell>
          <cell r="L17">
            <v>520</v>
          </cell>
          <cell r="M17">
            <v>210</v>
          </cell>
        </row>
        <row r="18">
          <cell r="J18">
            <v>4</v>
          </cell>
          <cell r="K18" t="str">
            <v>C.4130</v>
          </cell>
          <cell r="L18">
            <v>700</v>
          </cell>
          <cell r="M18">
            <v>270</v>
          </cell>
          <cell r="AI18">
            <v>90</v>
          </cell>
        </row>
        <row r="19">
          <cell r="J19">
            <v>5</v>
          </cell>
          <cell r="K19" t="str">
            <v>C.4131</v>
          </cell>
          <cell r="L19">
            <v>700</v>
          </cell>
          <cell r="M19">
            <v>270</v>
          </cell>
        </row>
        <row r="20">
          <cell r="J20">
            <v>6</v>
          </cell>
          <cell r="K20" t="str">
            <v>C.1531</v>
          </cell>
          <cell r="L20">
            <v>950</v>
          </cell>
          <cell r="M20">
            <v>300</v>
          </cell>
        </row>
        <row r="21">
          <cell r="F21">
            <v>45</v>
          </cell>
          <cell r="J21">
            <v>7</v>
          </cell>
          <cell r="K21" t="str">
            <v>C.4732</v>
          </cell>
          <cell r="L21">
            <v>1000</v>
          </cell>
          <cell r="M21">
            <v>320</v>
          </cell>
        </row>
        <row r="22">
          <cell r="J22">
            <v>8</v>
          </cell>
          <cell r="K22" t="str">
            <v>C.1220</v>
          </cell>
          <cell r="L22">
            <v>1480</v>
          </cell>
          <cell r="M22">
            <v>416</v>
          </cell>
        </row>
        <row r="23">
          <cell r="J23">
            <v>9</v>
          </cell>
          <cell r="K23" t="str">
            <v>C.4320</v>
          </cell>
          <cell r="L23">
            <v>1480</v>
          </cell>
          <cell r="M23">
            <v>416</v>
          </cell>
        </row>
        <row r="24">
          <cell r="J24">
            <v>10</v>
          </cell>
          <cell r="K24" t="str">
            <v>C.4321</v>
          </cell>
          <cell r="L24">
            <v>1480</v>
          </cell>
          <cell r="M24">
            <v>416</v>
          </cell>
        </row>
        <row r="25">
          <cell r="J25">
            <v>11</v>
          </cell>
          <cell r="K25" t="str">
            <v>C.4721</v>
          </cell>
          <cell r="L25">
            <v>1480</v>
          </cell>
          <cell r="M25">
            <v>416</v>
          </cell>
        </row>
        <row r="35">
          <cell r="O35">
            <v>3.02</v>
          </cell>
          <cell r="X35">
            <v>1.635</v>
          </cell>
        </row>
        <row r="36">
          <cell r="F36">
            <v>5</v>
          </cell>
        </row>
        <row r="52">
          <cell r="A52">
            <v>1</v>
          </cell>
          <cell r="B52" t="str">
            <v>LEVI</v>
          </cell>
        </row>
        <row r="53">
          <cell r="A53">
            <v>2</v>
          </cell>
          <cell r="B53" t="str">
            <v>DESNI</v>
          </cell>
        </row>
        <row r="58">
          <cell r="O58">
            <v>1.03</v>
          </cell>
        </row>
        <row r="70">
          <cell r="F70">
            <v>50</v>
          </cell>
        </row>
        <row r="73">
          <cell r="F73">
            <v>55</v>
          </cell>
          <cell r="L73">
            <v>1.25</v>
          </cell>
        </row>
        <row r="83">
          <cell r="F83">
            <v>60</v>
          </cell>
        </row>
        <row r="84">
          <cell r="O84">
            <v>0.825</v>
          </cell>
          <cell r="R84">
            <v>0.77</v>
          </cell>
        </row>
        <row r="92">
          <cell r="O92">
            <v>0.78</v>
          </cell>
          <cell r="R92">
            <v>0.74</v>
          </cell>
        </row>
        <row r="93">
          <cell r="A93">
            <v>22</v>
          </cell>
          <cell r="B93">
            <v>8</v>
          </cell>
          <cell r="C93">
            <v>7</v>
          </cell>
          <cell r="D93">
            <v>4.1</v>
          </cell>
          <cell r="E93">
            <v>3.2</v>
          </cell>
        </row>
        <row r="94">
          <cell r="A94">
            <v>31</v>
          </cell>
          <cell r="B94">
            <v>10</v>
          </cell>
          <cell r="C94">
            <v>8</v>
          </cell>
          <cell r="D94">
            <v>4.7</v>
          </cell>
          <cell r="E94">
            <v>3.7</v>
          </cell>
        </row>
        <row r="95">
          <cell r="A95">
            <v>39</v>
          </cell>
          <cell r="B95">
            <v>12</v>
          </cell>
          <cell r="C95">
            <v>8</v>
          </cell>
          <cell r="D95">
            <v>4.9</v>
          </cell>
          <cell r="E95">
            <v>3.7</v>
          </cell>
        </row>
        <row r="96">
          <cell r="A96">
            <v>45</v>
          </cell>
          <cell r="B96">
            <v>14</v>
          </cell>
          <cell r="C96">
            <v>9</v>
          </cell>
          <cell r="D96">
            <v>5.5</v>
          </cell>
          <cell r="E96">
            <v>4</v>
          </cell>
          <cell r="I96">
            <v>0.1</v>
          </cell>
          <cell r="J96">
            <v>3.6</v>
          </cell>
        </row>
        <row r="97">
          <cell r="A97">
            <v>51</v>
          </cell>
          <cell r="B97">
            <v>16</v>
          </cell>
          <cell r="C97">
            <v>10</v>
          </cell>
          <cell r="D97">
            <v>6.2</v>
          </cell>
          <cell r="E97">
            <v>4.5</v>
          </cell>
          <cell r="I97">
            <v>0.2</v>
          </cell>
          <cell r="J97">
            <v>3.1</v>
          </cell>
        </row>
        <row r="98">
          <cell r="A98">
            <v>59</v>
          </cell>
          <cell r="B98">
            <v>18</v>
          </cell>
          <cell r="C98">
            <v>11</v>
          </cell>
          <cell r="D98">
            <v>6.8</v>
          </cell>
          <cell r="E98">
            <v>4.5</v>
          </cell>
          <cell r="I98">
            <v>0.3</v>
          </cell>
          <cell r="J98">
            <v>2.8</v>
          </cell>
        </row>
        <row r="99">
          <cell r="A99">
            <v>66</v>
          </cell>
          <cell r="B99">
            <v>20</v>
          </cell>
          <cell r="C99">
            <v>12</v>
          </cell>
          <cell r="D99">
            <v>7.4</v>
          </cell>
          <cell r="E99">
            <v>5.5</v>
          </cell>
          <cell r="I99">
            <v>0.4</v>
          </cell>
          <cell r="J99">
            <v>2.4</v>
          </cell>
        </row>
        <row r="100">
          <cell r="A100">
            <v>76</v>
          </cell>
          <cell r="B100">
            <v>22</v>
          </cell>
          <cell r="C100">
            <v>14</v>
          </cell>
          <cell r="D100">
            <v>8.5</v>
          </cell>
          <cell r="E100">
            <v>6.5</v>
          </cell>
          <cell r="I100">
            <v>0.5</v>
          </cell>
          <cell r="J100">
            <v>2.3</v>
          </cell>
        </row>
        <row r="101">
          <cell r="A101">
            <v>86</v>
          </cell>
          <cell r="B101">
            <v>25</v>
          </cell>
          <cell r="C101">
            <v>14</v>
          </cell>
          <cell r="D101">
            <v>8.7</v>
          </cell>
          <cell r="E101">
            <v>6.4</v>
          </cell>
          <cell r="I101">
            <v>0.6</v>
          </cell>
          <cell r="J101">
            <v>2.2</v>
          </cell>
        </row>
        <row r="102">
          <cell r="A102">
            <v>96</v>
          </cell>
          <cell r="B102">
            <v>28</v>
          </cell>
          <cell r="C102">
            <v>16</v>
          </cell>
          <cell r="D102">
            <v>9.9</v>
          </cell>
          <cell r="E102">
            <v>6.9</v>
          </cell>
        </row>
        <row r="103">
          <cell r="A103">
            <v>111</v>
          </cell>
          <cell r="B103">
            <v>32</v>
          </cell>
          <cell r="C103">
            <v>18</v>
          </cell>
          <cell r="D103">
            <v>11.1</v>
          </cell>
          <cell r="E103">
            <v>7.9</v>
          </cell>
        </row>
        <row r="104">
          <cell r="A104">
            <v>131</v>
          </cell>
          <cell r="B104">
            <v>36</v>
          </cell>
          <cell r="C104">
            <v>20</v>
          </cell>
          <cell r="D104">
            <v>12.3</v>
          </cell>
          <cell r="E104">
            <v>8.4</v>
          </cell>
        </row>
        <row r="108">
          <cell r="J108">
            <v>1</v>
          </cell>
          <cell r="K108">
            <v>2</v>
          </cell>
        </row>
        <row r="109">
          <cell r="J109">
            <v>24.5</v>
          </cell>
          <cell r="K109">
            <v>38.2</v>
          </cell>
        </row>
        <row r="110">
          <cell r="J110">
            <v>80</v>
          </cell>
          <cell r="K110">
            <v>90</v>
          </cell>
        </row>
        <row r="111">
          <cell r="J111">
            <v>18</v>
          </cell>
          <cell r="K111">
            <v>23</v>
          </cell>
        </row>
        <row r="112">
          <cell r="J112">
            <v>2</v>
          </cell>
          <cell r="K112">
            <v>2.5</v>
          </cell>
        </row>
        <row r="113">
          <cell r="J113">
            <v>1</v>
          </cell>
          <cell r="K113">
            <v>1.2</v>
          </cell>
        </row>
        <row r="116">
          <cell r="J116">
            <v>1</v>
          </cell>
          <cell r="K116">
            <v>72</v>
          </cell>
        </row>
        <row r="117">
          <cell r="J117">
            <v>2</v>
          </cell>
          <cell r="K117">
            <v>73</v>
          </cell>
        </row>
        <row r="121">
          <cell r="J121">
            <v>1</v>
          </cell>
          <cell r="K121">
            <v>2</v>
          </cell>
        </row>
        <row r="122">
          <cell r="J122">
            <v>35.8</v>
          </cell>
          <cell r="K122">
            <v>60.8</v>
          </cell>
        </row>
        <row r="123">
          <cell r="J123">
            <v>100</v>
          </cell>
          <cell r="K123">
            <v>120</v>
          </cell>
        </row>
        <row r="124">
          <cell r="J124">
            <v>21</v>
          </cell>
          <cell r="K124">
            <v>29</v>
          </cell>
        </row>
        <row r="125">
          <cell r="J125">
            <v>2.5</v>
          </cell>
          <cell r="K125">
            <v>3</v>
          </cell>
        </row>
        <row r="126">
          <cell r="J126">
            <v>1.2</v>
          </cell>
          <cell r="K126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42"/>
  <sheetViews>
    <sheetView workbookViewId="0" topLeftCell="A1">
      <selection activeCell="B28" sqref="B28"/>
    </sheetView>
  </sheetViews>
  <sheetFormatPr defaultColWidth="9.140625" defaultRowHeight="12.75"/>
  <cols>
    <col min="1" max="16384" width="9.140625" style="52" customWidth="1"/>
  </cols>
  <sheetData>
    <row r="2" spans="4:10" ht="18.75" thickBot="1">
      <c r="D2" s="58" t="s">
        <v>350</v>
      </c>
      <c r="E2" s="59"/>
      <c r="F2" s="59"/>
      <c r="G2" s="59"/>
      <c r="H2" s="59"/>
      <c r="I2" s="59"/>
      <c r="J2" s="60"/>
    </row>
    <row r="3" ht="13.5" thickTop="1"/>
    <row r="5" spans="7:10" ht="13.5" thickBot="1">
      <c r="G5" s="61" t="s">
        <v>351</v>
      </c>
      <c r="H5" s="62"/>
      <c r="I5" s="62"/>
      <c r="J5" s="63"/>
    </row>
    <row r="6" ht="13.5" thickTop="1"/>
    <row r="8" spans="2:5" ht="13.5" thickBot="1">
      <c r="B8" s="61" t="s">
        <v>352</v>
      </c>
      <c r="C8" s="62"/>
      <c r="D8" s="62"/>
      <c r="E8" s="63"/>
    </row>
    <row r="9" spans="2:5" ht="13.5" thickTop="1">
      <c r="B9" s="53"/>
      <c r="C9" s="53"/>
      <c r="D9" s="53"/>
      <c r="E9" s="53"/>
    </row>
    <row r="10" spans="2:5" ht="12.75">
      <c r="B10" s="53"/>
      <c r="C10" s="53"/>
      <c r="D10" s="53"/>
      <c r="E10" s="53"/>
    </row>
    <row r="12" spans="3:10" ht="12.75">
      <c r="C12" s="54" t="s">
        <v>353</v>
      </c>
      <c r="I12" s="64" t="s">
        <v>354</v>
      </c>
      <c r="J12" s="64"/>
    </row>
    <row r="14" spans="3:10" ht="12.75">
      <c r="C14" s="64" t="s">
        <v>355</v>
      </c>
      <c r="D14" s="64"/>
      <c r="E14" s="64"/>
      <c r="F14" s="64"/>
      <c r="G14" s="64"/>
      <c r="I14" s="64" t="s">
        <v>356</v>
      </c>
      <c r="J14" s="64"/>
    </row>
    <row r="16" spans="3:9" ht="12.75">
      <c r="C16" s="64" t="s">
        <v>357</v>
      </c>
      <c r="D16" s="64"/>
      <c r="I16" s="55" t="s">
        <v>358</v>
      </c>
    </row>
    <row r="18" spans="3:9" ht="12.75">
      <c r="C18" s="64" t="s">
        <v>359</v>
      </c>
      <c r="D18" s="64"/>
      <c r="E18" s="64"/>
      <c r="F18" s="64"/>
      <c r="G18" s="64"/>
      <c r="I18" s="55" t="s">
        <v>360</v>
      </c>
    </row>
    <row r="20" spans="3:9" ht="12.75">
      <c r="C20" s="64" t="s">
        <v>361</v>
      </c>
      <c r="D20" s="64"/>
      <c r="E20" s="64"/>
      <c r="F20" s="64"/>
      <c r="I20" s="56" t="s">
        <v>383</v>
      </c>
    </row>
    <row r="22" spans="3:9" ht="12.75">
      <c r="C22" s="64" t="s">
        <v>362</v>
      </c>
      <c r="D22" s="64"/>
      <c r="E22" s="64"/>
      <c r="F22" s="64"/>
      <c r="G22" s="64"/>
      <c r="I22" s="55" t="s">
        <v>363</v>
      </c>
    </row>
    <row r="24" spans="3:9" ht="12.75">
      <c r="C24" s="64" t="s">
        <v>364</v>
      </c>
      <c r="D24" s="64"/>
      <c r="E24" s="64"/>
      <c r="I24" s="57" t="s">
        <v>365</v>
      </c>
    </row>
    <row r="26" spans="3:9" ht="12.75">
      <c r="C26" s="64" t="s">
        <v>366</v>
      </c>
      <c r="D26" s="64"/>
      <c r="E26" s="64"/>
      <c r="I26" s="55" t="s">
        <v>367</v>
      </c>
    </row>
    <row r="28" spans="3:9" ht="12.75">
      <c r="C28" s="64" t="s">
        <v>368</v>
      </c>
      <c r="D28" s="64"/>
      <c r="E28" s="64"/>
      <c r="F28" s="64"/>
      <c r="I28" s="55" t="s">
        <v>369</v>
      </c>
    </row>
    <row r="30" spans="3:10" ht="12.75">
      <c r="C30" s="64" t="s">
        <v>370</v>
      </c>
      <c r="D30" s="65"/>
      <c r="E30" s="65"/>
      <c r="I30" s="64" t="s">
        <v>371</v>
      </c>
      <c r="J30" s="64"/>
    </row>
    <row r="32" spans="3:11" ht="12.75">
      <c r="C32" s="64" t="s">
        <v>372</v>
      </c>
      <c r="D32" s="64"/>
      <c r="E32" s="64"/>
      <c r="F32" s="64"/>
      <c r="I32" s="64" t="s">
        <v>373</v>
      </c>
      <c r="J32" s="64"/>
      <c r="K32" s="64"/>
    </row>
    <row r="34" spans="3:10" ht="12.75">
      <c r="C34" s="64" t="s">
        <v>374</v>
      </c>
      <c r="D34" s="64"/>
      <c r="E34" s="64"/>
      <c r="F34" s="64"/>
      <c r="I34" s="64" t="s">
        <v>375</v>
      </c>
      <c r="J34" s="64"/>
    </row>
    <row r="36" spans="3:9" ht="12.75">
      <c r="C36" s="64" t="s">
        <v>376</v>
      </c>
      <c r="D36" s="64"/>
      <c r="E36" s="64"/>
      <c r="I36" s="55" t="s">
        <v>377</v>
      </c>
    </row>
    <row r="38" spans="3:9" ht="12.75">
      <c r="C38" s="64" t="s">
        <v>378</v>
      </c>
      <c r="D38" s="64"/>
      <c r="E38" s="64"/>
      <c r="I38" s="57" t="s">
        <v>384</v>
      </c>
    </row>
    <row r="40" spans="3:9" ht="12.75">
      <c r="C40" s="64" t="s">
        <v>379</v>
      </c>
      <c r="D40" s="64"/>
      <c r="E40" s="64"/>
      <c r="I40" s="55" t="s">
        <v>380</v>
      </c>
    </row>
    <row r="42" spans="3:9" ht="12.75">
      <c r="C42" s="64" t="s">
        <v>381</v>
      </c>
      <c r="D42" s="64"/>
      <c r="E42" s="64"/>
      <c r="F42" s="64"/>
      <c r="I42" s="55" t="s">
        <v>382</v>
      </c>
    </row>
  </sheetData>
  <mergeCells count="23">
    <mergeCell ref="C38:E38"/>
    <mergeCell ref="C40:E40"/>
    <mergeCell ref="C42:F42"/>
    <mergeCell ref="I12:J12"/>
    <mergeCell ref="I14:J14"/>
    <mergeCell ref="I30:J30"/>
    <mergeCell ref="I32:K32"/>
    <mergeCell ref="I34:J34"/>
    <mergeCell ref="C30:E30"/>
    <mergeCell ref="C32:F32"/>
    <mergeCell ref="C36:E36"/>
    <mergeCell ref="C22:G22"/>
    <mergeCell ref="C24:E24"/>
    <mergeCell ref="C26:E26"/>
    <mergeCell ref="C28:F28"/>
    <mergeCell ref="C16:D16"/>
    <mergeCell ref="C18:G18"/>
    <mergeCell ref="C20:F20"/>
    <mergeCell ref="C34:F34"/>
    <mergeCell ref="D2:J2"/>
    <mergeCell ref="G5:J5"/>
    <mergeCell ref="B8:E8"/>
    <mergeCell ref="C14:G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B1:E133"/>
  <sheetViews>
    <sheetView workbookViewId="0" topLeftCell="A58">
      <selection activeCell="B2" sqref="B2:D2"/>
    </sheetView>
  </sheetViews>
  <sheetFormatPr defaultColWidth="9.140625" defaultRowHeight="12.75"/>
  <cols>
    <col min="1" max="1" width="17.8515625" style="22" customWidth="1"/>
    <col min="2" max="2" width="69.28125" style="25" customWidth="1"/>
    <col min="3" max="3" width="12.140625" style="23" customWidth="1"/>
    <col min="4" max="4" width="9.8515625" style="24" customWidth="1"/>
    <col min="5" max="5" width="8.7109375" style="22" customWidth="1"/>
    <col min="6" max="16384" width="10.28125" style="22" customWidth="1"/>
  </cols>
  <sheetData>
    <row r="1" ht="15.75">
      <c r="B1" s="22"/>
    </row>
    <row r="2" spans="2:4" ht="15.75">
      <c r="B2" s="66" t="s">
        <v>328</v>
      </c>
      <c r="C2" s="67"/>
      <c r="D2" s="67"/>
    </row>
    <row r="4" ht="15.75">
      <c r="B4" s="26" t="s">
        <v>1</v>
      </c>
    </row>
    <row r="5" spans="2:5" ht="15.75">
      <c r="B5" s="25" t="s">
        <v>2</v>
      </c>
      <c r="C5" s="2" t="s">
        <v>3</v>
      </c>
      <c r="D5" s="16">
        <f>'[1]PRORACUN ZUPCANIKA'!D6</f>
        <v>34</v>
      </c>
      <c r="E5" s="1" t="s">
        <v>4</v>
      </c>
    </row>
    <row r="6" spans="2:5" ht="15.75">
      <c r="B6" s="25" t="s">
        <v>329</v>
      </c>
      <c r="C6" s="2" t="s">
        <v>104</v>
      </c>
      <c r="D6" s="16">
        <f>'[1]PRORACUN ZUPCANIKA'!D7</f>
        <v>1420</v>
      </c>
      <c r="E6" s="1" t="s">
        <v>6</v>
      </c>
    </row>
    <row r="7" spans="2:5" ht="15.75">
      <c r="B7" s="25" t="s">
        <v>174</v>
      </c>
      <c r="C7" s="2" t="s">
        <v>241</v>
      </c>
      <c r="D7" s="16">
        <f>'[1]PRORACUN ZUPCANIKA'!D17</f>
        <v>1.25</v>
      </c>
      <c r="E7" s="1"/>
    </row>
    <row r="9" spans="2:5" ht="15.75">
      <c r="B9" s="25" t="s">
        <v>175</v>
      </c>
      <c r="C9" s="2"/>
      <c r="D9" s="27" t="str">
        <f>VLOOKUP('[1]POLAZNI PODACI'!E46,'[1]BAZA PODATAKA'!J4:K9,2)</f>
        <v>C.0460</v>
      </c>
      <c r="E9" s="1"/>
    </row>
    <row r="10" spans="2:5" ht="15.75">
      <c r="B10" s="25" t="s">
        <v>176</v>
      </c>
      <c r="C10" s="23" t="s">
        <v>177</v>
      </c>
      <c r="D10" s="24">
        <f>28+'[1]PRORACUN ZUPCANIKA'!D108+'[1]PRORACUN LEZAJA'!D32</f>
        <v>95</v>
      </c>
      <c r="E10" s="22" t="s">
        <v>26</v>
      </c>
    </row>
    <row r="11" spans="2:5" ht="15.75">
      <c r="B11" s="25" t="s">
        <v>178</v>
      </c>
      <c r="C11" s="2" t="s">
        <v>242</v>
      </c>
      <c r="D11" s="16">
        <f>D10/2</f>
        <v>47.5</v>
      </c>
      <c r="E11" s="1" t="s">
        <v>26</v>
      </c>
    </row>
    <row r="12" spans="2:5" ht="15.75">
      <c r="B12" s="25" t="s">
        <v>179</v>
      </c>
      <c r="C12" s="2" t="s">
        <v>243</v>
      </c>
      <c r="D12" s="16">
        <f>D10-D11</f>
        <v>47.5</v>
      </c>
      <c r="E12" s="1" t="s">
        <v>26</v>
      </c>
    </row>
    <row r="13" spans="2:5" ht="15.75">
      <c r="B13" s="25" t="s">
        <v>180</v>
      </c>
      <c r="C13" s="2" t="s">
        <v>330</v>
      </c>
      <c r="D13" s="16">
        <f>'[1]PRORACUN ZUPCANIKA'!D112</f>
        <v>85.8354</v>
      </c>
      <c r="E13" s="1" t="s">
        <v>26</v>
      </c>
    </row>
    <row r="14" spans="2:5" ht="15.75">
      <c r="B14" s="29"/>
      <c r="E14" s="30"/>
    </row>
    <row r="15" spans="2:5" ht="15.75">
      <c r="B15" s="25" t="s">
        <v>50</v>
      </c>
      <c r="C15" s="2" t="s">
        <v>245</v>
      </c>
      <c r="D15" s="16">
        <f>'[1]POLAZNI PODACI'!E52</f>
        <v>4</v>
      </c>
      <c r="E15" s="30"/>
    </row>
    <row r="16" spans="2:4" ht="15.75">
      <c r="B16" s="28" t="s">
        <v>50</v>
      </c>
      <c r="C16" s="2" t="s">
        <v>246</v>
      </c>
      <c r="D16" s="16">
        <f>'[1]POLAZNI PODACI'!E54</f>
        <v>3</v>
      </c>
    </row>
    <row r="18" ht="15.75">
      <c r="B18" s="26" t="s">
        <v>181</v>
      </c>
    </row>
    <row r="20" spans="2:5" ht="15.75">
      <c r="B20" s="25" t="s">
        <v>331</v>
      </c>
      <c r="C20" s="23" t="s">
        <v>332</v>
      </c>
      <c r="D20" s="24">
        <f>ROUND(1000000*30*D5/(PI()*D6),0)</f>
        <v>228645</v>
      </c>
      <c r="E20" s="22" t="s">
        <v>28</v>
      </c>
    </row>
    <row r="21" spans="2:5" ht="15.75">
      <c r="B21" s="25" t="s">
        <v>182</v>
      </c>
      <c r="C21" s="23" t="s">
        <v>333</v>
      </c>
      <c r="D21" s="24">
        <f>ROUND(2*D20*D7/D13,0)</f>
        <v>6659</v>
      </c>
      <c r="E21" s="22" t="s">
        <v>65</v>
      </c>
    </row>
    <row r="22" spans="2:5" ht="15.75">
      <c r="B22" s="25" t="s">
        <v>183</v>
      </c>
      <c r="C22" s="2" t="s">
        <v>334</v>
      </c>
      <c r="D22" s="16">
        <f>ROUND(D21*TAN(RADIANS('[1]PRORACUN ZUPCANIKA'!D21))/COS(RADIANS('[1]PRORACUN ZUPCANIKA'!D10)),0)</f>
        <v>2447</v>
      </c>
      <c r="E22" s="1" t="s">
        <v>65</v>
      </c>
    </row>
    <row r="23" spans="2:5" ht="15.75">
      <c r="B23" s="25" t="s">
        <v>184</v>
      </c>
      <c r="C23" s="2" t="s">
        <v>335</v>
      </c>
      <c r="D23" s="16">
        <f>ROUND(D21*TAN(RADIANS('[1]PRORACUN ZUPCANIKA'!D10)),0)</f>
        <v>936</v>
      </c>
      <c r="E23" s="1" t="s">
        <v>65</v>
      </c>
    </row>
    <row r="25" ht="15.75">
      <c r="B25" s="26" t="s">
        <v>336</v>
      </c>
    </row>
    <row r="26" spans="2:5" ht="15.75">
      <c r="B26" s="25" t="s">
        <v>185</v>
      </c>
      <c r="C26" s="23" t="s">
        <v>337</v>
      </c>
      <c r="D26" s="24">
        <f>ROUND(D21*D12/(D11+D12),2)</f>
        <v>3329.5</v>
      </c>
      <c r="E26" s="22" t="s">
        <v>65</v>
      </c>
    </row>
    <row r="27" spans="3:5" ht="15.75">
      <c r="C27" s="23" t="s">
        <v>338</v>
      </c>
      <c r="D27" s="24">
        <f>ROUND(D21-D26,2)</f>
        <v>3329.5</v>
      </c>
      <c r="E27" s="22" t="s">
        <v>65</v>
      </c>
    </row>
    <row r="28" spans="2:5" ht="15.75">
      <c r="B28" s="25" t="s">
        <v>186</v>
      </c>
      <c r="C28" s="23" t="s">
        <v>339</v>
      </c>
      <c r="D28" s="24">
        <f>ROUND((-D23*D13/2+D22*D11)/(D11+D12),0)</f>
        <v>801</v>
      </c>
      <c r="E28" s="22" t="s">
        <v>65</v>
      </c>
    </row>
    <row r="29" spans="3:5" ht="15.75">
      <c r="C29" s="23" t="s">
        <v>340</v>
      </c>
      <c r="D29" s="24">
        <f>ROUND((D23*D13/2+D22*D12)/(D11+D12),0)</f>
        <v>1646</v>
      </c>
      <c r="E29" s="22" t="s">
        <v>65</v>
      </c>
    </row>
    <row r="30" spans="2:4" ht="15.75">
      <c r="B30" s="25" t="s">
        <v>187</v>
      </c>
      <c r="C30" s="7" t="s">
        <v>257</v>
      </c>
      <c r="D30" s="24">
        <f>D22-D28-D29</f>
        <v>0</v>
      </c>
    </row>
    <row r="31" ht="15.75">
      <c r="C31" s="7"/>
    </row>
    <row r="32" spans="2:3" ht="15.75">
      <c r="B32" s="26" t="s">
        <v>341</v>
      </c>
      <c r="C32" s="7"/>
    </row>
    <row r="33" spans="2:5" ht="15.75">
      <c r="B33" s="25" t="s">
        <v>185</v>
      </c>
      <c r="C33" s="23" t="s">
        <v>259</v>
      </c>
      <c r="D33" s="24">
        <f>ROUND(-D26*D11,0)</f>
        <v>-158151</v>
      </c>
      <c r="E33" s="22" t="s">
        <v>28</v>
      </c>
    </row>
    <row r="34" spans="2:5" ht="15.75">
      <c r="B34" s="25" t="s">
        <v>186</v>
      </c>
      <c r="C34" s="23" t="s">
        <v>260</v>
      </c>
      <c r="D34" s="24">
        <f>ROUND(-D28*D11,0)</f>
        <v>-38048</v>
      </c>
      <c r="E34" s="22" t="s">
        <v>28</v>
      </c>
    </row>
    <row r="35" spans="3:5" ht="15.75">
      <c r="C35" s="23" t="s">
        <v>261</v>
      </c>
      <c r="D35" s="24">
        <f>ROUND(-D29*D12,0)</f>
        <v>-78185</v>
      </c>
      <c r="E35" s="22" t="s">
        <v>28</v>
      </c>
    </row>
    <row r="36" ht="15.75">
      <c r="B36" s="26" t="s">
        <v>342</v>
      </c>
    </row>
    <row r="37" spans="3:5" ht="15.75">
      <c r="C37" s="23" t="s">
        <v>263</v>
      </c>
      <c r="D37" s="24">
        <f>ROUND((D33^2+D34^2)^0.5,0)</f>
        <v>162663</v>
      </c>
      <c r="E37" s="22" t="s">
        <v>28</v>
      </c>
    </row>
    <row r="38" spans="3:5" ht="15.75">
      <c r="C38" s="23" t="s">
        <v>188</v>
      </c>
      <c r="D38" s="24">
        <f>ROUND((D33^2+D35^2)^0.5,0)</f>
        <v>176422</v>
      </c>
      <c r="E38" s="22" t="s">
        <v>28</v>
      </c>
    </row>
    <row r="40" spans="2:3" ht="15.75">
      <c r="B40" s="26" t="s">
        <v>189</v>
      </c>
      <c r="C40" s="31" t="str">
        <f>D9</f>
        <v>C.0460</v>
      </c>
    </row>
    <row r="41" spans="3:5" ht="15.75">
      <c r="C41" s="7" t="s">
        <v>264</v>
      </c>
      <c r="D41" s="24">
        <f>VLOOKUP('[1]POLAZNI PODACI'!E46,'[1]BAZA PODATAKA'!J4:M9,3)</f>
        <v>190</v>
      </c>
      <c r="E41" s="22" t="s">
        <v>33</v>
      </c>
    </row>
    <row r="42" spans="3:5" ht="15.75">
      <c r="C42" s="7" t="s">
        <v>265</v>
      </c>
      <c r="D42" s="24">
        <f>VLOOKUP('[1]POLAZNI PODACI'!E46,'[1]BAZA PODATAKA'!J4:M9,4)</f>
        <v>150</v>
      </c>
      <c r="E42" s="22" t="s">
        <v>33</v>
      </c>
    </row>
    <row r="43" spans="2:5" ht="15.75">
      <c r="B43" s="25" t="s">
        <v>34</v>
      </c>
      <c r="C43" s="7" t="s">
        <v>266</v>
      </c>
      <c r="D43" s="24">
        <f>ROUND(D41/D15,0)</f>
        <v>48</v>
      </c>
      <c r="E43" s="22" t="s">
        <v>33</v>
      </c>
    </row>
    <row r="44" spans="2:5" ht="15.75">
      <c r="B44" s="25" t="s">
        <v>34</v>
      </c>
      <c r="C44" s="7" t="s">
        <v>267</v>
      </c>
      <c r="D44" s="24">
        <f>ROUND(D42/D16,0)</f>
        <v>50</v>
      </c>
      <c r="E44" s="22" t="s">
        <v>33</v>
      </c>
    </row>
    <row r="45" spans="2:4" ht="15.75">
      <c r="B45" s="25" t="s">
        <v>190</v>
      </c>
      <c r="C45" s="7" t="s">
        <v>268</v>
      </c>
      <c r="D45" s="24">
        <f>ROUND(D41/D42,1)</f>
        <v>1.3</v>
      </c>
    </row>
    <row r="47" ht="15.75">
      <c r="B47" s="26" t="s">
        <v>343</v>
      </c>
    </row>
    <row r="48" spans="2:5" ht="15.75">
      <c r="B48" s="25" t="s">
        <v>191</v>
      </c>
      <c r="C48" s="23" t="s">
        <v>344</v>
      </c>
      <c r="D48" s="24">
        <f>D20</f>
        <v>228645</v>
      </c>
      <c r="E48" s="22" t="s">
        <v>28</v>
      </c>
    </row>
    <row r="49" spans="2:5" ht="15.75">
      <c r="B49" s="25" t="s">
        <v>192</v>
      </c>
      <c r="C49" s="23" t="s">
        <v>345</v>
      </c>
      <c r="D49" s="24">
        <f>ROUND((D38^2+(D45*D20/2)^2)^0.5,0)</f>
        <v>230678</v>
      </c>
      <c r="E49" s="22" t="s">
        <v>28</v>
      </c>
    </row>
    <row r="51" ht="15.75">
      <c r="B51" s="26" t="s">
        <v>193</v>
      </c>
    </row>
    <row r="52" ht="15.75">
      <c r="B52" s="26" t="s">
        <v>194</v>
      </c>
    </row>
    <row r="53" spans="2:5" ht="15.75">
      <c r="B53" s="25" t="s">
        <v>191</v>
      </c>
      <c r="C53" s="23" t="s">
        <v>346</v>
      </c>
      <c r="D53" s="24">
        <f>ROUND((16*D48/(PI()*D44))^(1/3),1)</f>
        <v>28.6</v>
      </c>
      <c r="E53" s="22" t="s">
        <v>26</v>
      </c>
    </row>
    <row r="54" spans="2:5" ht="15.75">
      <c r="B54" s="25" t="s">
        <v>192</v>
      </c>
      <c r="C54" s="23" t="s">
        <v>347</v>
      </c>
      <c r="D54" s="24">
        <f>ROUND((32*D49/(PI()*D43))^(1/3),1)</f>
        <v>36.6</v>
      </c>
      <c r="E54" s="22" t="s">
        <v>26</v>
      </c>
    </row>
    <row r="56" ht="15.75">
      <c r="B56" s="26" t="s">
        <v>195</v>
      </c>
    </row>
    <row r="57" spans="2:5" ht="15.75">
      <c r="B57" s="25" t="s">
        <v>191</v>
      </c>
      <c r="C57" s="23" t="s">
        <v>348</v>
      </c>
      <c r="D57" s="24">
        <f>ROUND(1.2*D53,1)</f>
        <v>34.3</v>
      </c>
      <c r="E57" s="22" t="s">
        <v>26</v>
      </c>
    </row>
    <row r="58" spans="2:5" ht="15.75">
      <c r="B58" s="25" t="s">
        <v>192</v>
      </c>
      <c r="C58" s="23" t="s">
        <v>349</v>
      </c>
      <c r="D58" s="24">
        <f>ROUND(1.2*D54,1)</f>
        <v>43.9</v>
      </c>
      <c r="E58" s="22" t="s">
        <v>26</v>
      </c>
    </row>
    <row r="60" ht="16.5" thickBot="1">
      <c r="B60" s="26" t="s">
        <v>196</v>
      </c>
    </row>
    <row r="61" ht="16.5" thickBot="1">
      <c r="D61" s="32">
        <f>'[1]POLAZNI PODACI'!E72</f>
        <v>1</v>
      </c>
    </row>
    <row r="63" spans="2:5" ht="15.75">
      <c r="B63" s="25" t="s">
        <v>197</v>
      </c>
      <c r="C63" s="2" t="s">
        <v>276</v>
      </c>
      <c r="D63" s="3">
        <f>'[1]BAZA PODATAKA'!F8</f>
        <v>35</v>
      </c>
      <c r="E63" s="1" t="s">
        <v>26</v>
      </c>
    </row>
    <row r="64" spans="2:5" ht="15.75">
      <c r="B64" s="25" t="s">
        <v>198</v>
      </c>
      <c r="C64" s="2" t="s">
        <v>322</v>
      </c>
      <c r="D64" s="3">
        <f>'[1]BAZA PODATAKA'!F11</f>
        <v>40</v>
      </c>
      <c r="E64" s="1" t="s">
        <v>26</v>
      </c>
    </row>
    <row r="65" spans="2:5" ht="15.75">
      <c r="B65" s="25" t="s">
        <v>192</v>
      </c>
      <c r="C65" s="2" t="s">
        <v>349</v>
      </c>
      <c r="D65" s="3">
        <f>'[1]BAZA PODATAKA'!F21</f>
        <v>45</v>
      </c>
      <c r="E65" s="1" t="s">
        <v>26</v>
      </c>
    </row>
    <row r="67" ht="15.75">
      <c r="B67" s="26" t="s">
        <v>199</v>
      </c>
    </row>
    <row r="68" spans="2:5" ht="15.75">
      <c r="B68" s="25" t="s">
        <v>200</v>
      </c>
      <c r="C68" s="2" t="s">
        <v>201</v>
      </c>
      <c r="D68" s="3">
        <f>VLOOKUP(D65,'[1]BAZA PODATAKA'!A93:E104,4)</f>
        <v>5.5</v>
      </c>
      <c r="E68" s="1" t="s">
        <v>26</v>
      </c>
    </row>
    <row r="69" spans="2:5" ht="15.75">
      <c r="B69" s="25" t="s">
        <v>202</v>
      </c>
      <c r="C69" s="2" t="s">
        <v>203</v>
      </c>
      <c r="D69" s="3">
        <v>2</v>
      </c>
      <c r="E69" s="1" t="s">
        <v>26</v>
      </c>
    </row>
    <row r="70" spans="3:4" ht="15.75">
      <c r="C70" s="23" t="s">
        <v>204</v>
      </c>
      <c r="D70" s="24">
        <f>ROUND(D68/D65,1)</f>
        <v>0.1</v>
      </c>
    </row>
    <row r="71" spans="3:4" ht="15.75">
      <c r="C71" s="23" t="s">
        <v>205</v>
      </c>
      <c r="D71" s="24">
        <f>ROUND(D69/D68,1)</f>
        <v>0.4</v>
      </c>
    </row>
    <row r="72" spans="2:5" ht="15.75">
      <c r="B72" s="25" t="s">
        <v>206</v>
      </c>
      <c r="C72" s="7" t="s">
        <v>278</v>
      </c>
      <c r="D72" s="3">
        <f>VLOOKUP(D71,'[1]BAZA PODATAKA'!I96:J101,2)</f>
        <v>2.4</v>
      </c>
      <c r="E72" s="30"/>
    </row>
    <row r="73" spans="2:4" ht="15.75">
      <c r="B73" s="25" t="s">
        <v>207</v>
      </c>
      <c r="C73" s="7" t="s">
        <v>279</v>
      </c>
      <c r="D73" s="3">
        <v>0.65</v>
      </c>
    </row>
    <row r="74" spans="2:4" ht="15.75">
      <c r="B74" s="25" t="s">
        <v>208</v>
      </c>
      <c r="C74" s="7" t="s">
        <v>280</v>
      </c>
      <c r="D74" s="24">
        <f>ROUND((D72-1)*D73+1,2)</f>
        <v>1.91</v>
      </c>
    </row>
    <row r="75" spans="2:4" ht="15.75">
      <c r="B75" s="25" t="s">
        <v>209</v>
      </c>
      <c r="C75" s="7" t="s">
        <v>281</v>
      </c>
      <c r="D75" s="3">
        <v>0.9</v>
      </c>
    </row>
    <row r="76" spans="2:4" ht="15.75">
      <c r="B76" s="25" t="s">
        <v>210</v>
      </c>
      <c r="C76" s="7" t="s">
        <v>282</v>
      </c>
      <c r="D76" s="3">
        <f>'[1]BAZA PODATAKA'!O84</f>
        <v>0.825</v>
      </c>
    </row>
    <row r="77" spans="2:4" ht="15.75">
      <c r="B77" s="25" t="s">
        <v>211</v>
      </c>
      <c r="C77" s="7" t="s">
        <v>282</v>
      </c>
      <c r="D77" s="3">
        <f>'[1]BAZA PODATAKA'!R84</f>
        <v>0.77</v>
      </c>
    </row>
    <row r="79" spans="2:5" ht="15.75">
      <c r="B79" s="25" t="s">
        <v>212</v>
      </c>
      <c r="C79" s="23" t="s">
        <v>213</v>
      </c>
      <c r="D79" s="24">
        <f>ROUND((D65-D68)^3*PI()/32,0)</f>
        <v>6050</v>
      </c>
      <c r="E79" s="22" t="s">
        <v>214</v>
      </c>
    </row>
    <row r="80" spans="2:5" ht="15.75">
      <c r="B80" s="25" t="s">
        <v>215</v>
      </c>
      <c r="C80" s="23" t="s">
        <v>216</v>
      </c>
      <c r="D80" s="24">
        <f>2*D79</f>
        <v>12100</v>
      </c>
      <c r="E80" s="22" t="s">
        <v>214</v>
      </c>
    </row>
    <row r="82" spans="2:5" ht="15.75">
      <c r="B82" s="25" t="s">
        <v>217</v>
      </c>
      <c r="C82" s="7" t="s">
        <v>283</v>
      </c>
      <c r="D82" s="24">
        <f>ROUND(D38/D79,1)</f>
        <v>29.2</v>
      </c>
      <c r="E82" s="22" t="s">
        <v>33</v>
      </c>
    </row>
    <row r="83" spans="2:5" ht="15.75">
      <c r="B83" s="25" t="s">
        <v>218</v>
      </c>
      <c r="C83" s="7" t="s">
        <v>284</v>
      </c>
      <c r="D83" s="24">
        <f>ROUND(D20/D80,0)</f>
        <v>19</v>
      </c>
      <c r="E83" s="22" t="s">
        <v>33</v>
      </c>
    </row>
    <row r="85" spans="2:4" ht="15.75">
      <c r="B85" s="25" t="s">
        <v>50</v>
      </c>
      <c r="C85" s="23" t="s">
        <v>285</v>
      </c>
      <c r="D85" s="24">
        <f>ROUND(D41*D76*D75/(D74*D82),2)</f>
        <v>2.53</v>
      </c>
    </row>
    <row r="86" spans="2:4" ht="15.75">
      <c r="B86" s="25" t="s">
        <v>50</v>
      </c>
      <c r="C86" s="23" t="s">
        <v>246</v>
      </c>
      <c r="D86" s="24">
        <f>ROUND(D42*D77*D75/(D74*D83),2)</f>
        <v>2.86</v>
      </c>
    </row>
    <row r="87" spans="2:4" ht="16.5" thickBot="1">
      <c r="B87" s="25" t="s">
        <v>219</v>
      </c>
      <c r="C87" s="23" t="s">
        <v>51</v>
      </c>
      <c r="D87" s="24">
        <f>ROUND(D85*D86/((D85^2+D86^2)^0.5),2)</f>
        <v>1.89</v>
      </c>
    </row>
    <row r="88" spans="3:5" ht="16.5" thickBot="1">
      <c r="C88" s="34"/>
      <c r="D88" s="35" t="str">
        <f>IF(D87&lt;1.5,"NE ZADOVOQAVA",IF(AND(D87&gt;=1.5,D87&lt;=3),"ZADOVOQAVA",IF(D87&gt;3,"PREDIMENZIONISANO")))</f>
        <v>ZADOVOQAVA</v>
      </c>
      <c r="E88" s="14"/>
    </row>
    <row r="90" ht="15.75">
      <c r="B90" s="26" t="s">
        <v>220</v>
      </c>
    </row>
    <row r="91" spans="2:5" ht="15.75">
      <c r="B91" s="25" t="s">
        <v>221</v>
      </c>
      <c r="C91" s="15" t="s">
        <v>67</v>
      </c>
      <c r="D91" s="16">
        <f>VLOOKUP(D65,'[1]BAZA PODATAKA'!A93:E104,2)</f>
        <v>14</v>
      </c>
      <c r="E91" s="33" t="s">
        <v>26</v>
      </c>
    </row>
    <row r="92" spans="2:5" ht="15.75">
      <c r="B92" s="33" t="str">
        <f>D91&amp;"x"&amp;D92&amp;"x"&amp;D93&amp;"   JUS M.C2.060."</f>
        <v>14x9x40   JUS M.C2.060.</v>
      </c>
      <c r="C92" s="15" t="s">
        <v>222</v>
      </c>
      <c r="D92" s="16">
        <f>VLOOKUP(D65,'[1]BAZA PODATAKA'!A93:E104,3)</f>
        <v>9</v>
      </c>
      <c r="E92" s="33" t="s">
        <v>26</v>
      </c>
    </row>
    <row r="93" spans="3:5" ht="15.75">
      <c r="C93" s="15" t="s">
        <v>177</v>
      </c>
      <c r="D93" s="16">
        <f>'[1]BAZA PODATAKA'!AI6</f>
        <v>40</v>
      </c>
      <c r="E93" s="33" t="s">
        <v>26</v>
      </c>
    </row>
    <row r="94" spans="2:5" ht="15.75">
      <c r="B94" s="22"/>
      <c r="C94" s="23" t="s">
        <v>286</v>
      </c>
      <c r="D94" s="16">
        <f>VLOOKUP(D65,'[1]BAZA PODATAKA'!A93:E104,5)</f>
        <v>4</v>
      </c>
      <c r="E94" s="33" t="s">
        <v>26</v>
      </c>
    </row>
    <row r="95" spans="2:3" ht="15.75">
      <c r="B95" s="36" t="s">
        <v>223</v>
      </c>
      <c r="C95" s="22"/>
    </row>
    <row r="96" spans="2:5" ht="15.75">
      <c r="B96" s="22"/>
      <c r="C96" s="23" t="s">
        <v>224</v>
      </c>
      <c r="D96" s="24">
        <f>D92-D68</f>
        <v>3.5</v>
      </c>
      <c r="E96" s="22" t="s">
        <v>26</v>
      </c>
    </row>
    <row r="97" spans="2:5" ht="15.75">
      <c r="B97" s="25" t="s">
        <v>225</v>
      </c>
      <c r="C97" s="23" t="s">
        <v>226</v>
      </c>
      <c r="D97" s="24">
        <f>D93-D91</f>
        <v>26</v>
      </c>
      <c r="E97" s="22" t="s">
        <v>26</v>
      </c>
    </row>
    <row r="98" spans="2:5" ht="15.75">
      <c r="B98" s="25" t="s">
        <v>227</v>
      </c>
      <c r="D98" s="24">
        <f>IF(E98&gt;2,2,E98)</f>
        <v>2</v>
      </c>
      <c r="E98" s="37">
        <f>ROUNDUP(2*D20*D7/(88*D97*D96*D65),0)</f>
        <v>2</v>
      </c>
    </row>
    <row r="99" spans="2:5" ht="15.75">
      <c r="B99" s="25" t="s">
        <v>228</v>
      </c>
      <c r="C99" s="23" t="s">
        <v>229</v>
      </c>
      <c r="D99" s="24">
        <f>ROUND(2*D20*D7/(D98*D65),0)</f>
        <v>6351</v>
      </c>
      <c r="E99" s="22" t="s">
        <v>65</v>
      </c>
    </row>
    <row r="100" spans="2:5" ht="16.5" thickBot="1">
      <c r="B100" s="25" t="s">
        <v>230</v>
      </c>
      <c r="C100" s="23" t="s">
        <v>231</v>
      </c>
      <c r="D100" s="24">
        <f>ROUND(D99/(D97*D96),0)</f>
        <v>70</v>
      </c>
      <c r="E100" s="22" t="s">
        <v>33</v>
      </c>
    </row>
    <row r="101" spans="3:5" ht="16.5" thickBot="1">
      <c r="C101" s="34"/>
      <c r="D101" s="35" t="str">
        <f>IF(D100&lt;=88,"ZADOVOQAVA","NE ZADOVOQAVA")</f>
        <v>ZADOVOQAVA</v>
      </c>
      <c r="E101" s="38"/>
    </row>
    <row r="103" ht="15.75">
      <c r="B103" s="36" t="s">
        <v>232</v>
      </c>
    </row>
    <row r="104" spans="2:3" ht="15.75">
      <c r="B104" s="25" t="s">
        <v>233</v>
      </c>
      <c r="C104" s="23" t="s">
        <v>234</v>
      </c>
    </row>
    <row r="105" spans="3:5" ht="15.75">
      <c r="C105" s="23" t="s">
        <v>235</v>
      </c>
      <c r="D105" s="24">
        <v>330</v>
      </c>
      <c r="E105" s="22" t="s">
        <v>33</v>
      </c>
    </row>
    <row r="106" spans="2:5" ht="15.75">
      <c r="B106" s="25" t="s">
        <v>34</v>
      </c>
      <c r="C106" s="7" t="s">
        <v>287</v>
      </c>
      <c r="D106" s="24">
        <f>0.8*D105</f>
        <v>264</v>
      </c>
      <c r="E106" s="22" t="s">
        <v>33</v>
      </c>
    </row>
    <row r="107" spans="2:5" ht="16.5" thickBot="1">
      <c r="B107" s="25" t="s">
        <v>236</v>
      </c>
      <c r="C107" s="7" t="s">
        <v>288</v>
      </c>
      <c r="D107" s="24">
        <f>ROUND(D99/(D97*D91),0)</f>
        <v>17</v>
      </c>
      <c r="E107" s="22" t="s">
        <v>33</v>
      </c>
    </row>
    <row r="108" spans="3:5" ht="16.5" thickBot="1">
      <c r="C108" s="39"/>
      <c r="D108" s="35" t="str">
        <f>IF(D107&lt;D106,"ZADOVOQAVA","NE ZADOVOQAVA")</f>
        <v>ZADOVOQAVA</v>
      </c>
      <c r="E108" s="38"/>
    </row>
    <row r="110" spans="2:5" ht="15.75">
      <c r="B110" s="40">
        <f>IF(E98&gt;2,"Klin ne zadovoqava pa usvajamo o`qebqeno vratilo","")</f>
      </c>
      <c r="C110" s="41">
        <f>IF(E98&gt;2,"m=","")</f>
      </c>
      <c r="D110" s="42">
        <f>IF(E98&gt;2,IF(D65&gt;52,10,IF(D65&gt;28,8,6)),"")</f>
      </c>
      <c r="E110" s="43"/>
    </row>
    <row r="112" ht="15.75">
      <c r="B112" s="26" t="s">
        <v>237</v>
      </c>
    </row>
    <row r="113" spans="2:5" ht="15.75">
      <c r="B113" s="25" t="s">
        <v>221</v>
      </c>
      <c r="C113" s="15" t="s">
        <v>67</v>
      </c>
      <c r="D113" s="16">
        <f>VLOOKUP(D63,'[1]BAZA PODATAKA'!A93:E104,2)</f>
        <v>10</v>
      </c>
      <c r="E113" s="33" t="s">
        <v>26</v>
      </c>
    </row>
    <row r="114" spans="2:5" ht="15.75">
      <c r="B114" s="33" t="str">
        <f>D113&amp;"x"&amp;D114&amp;"x"&amp;D115&amp;"   JUS M.C2.060."</f>
        <v>10x8x63   JUS M.C2.060.</v>
      </c>
      <c r="C114" s="15" t="s">
        <v>222</v>
      </c>
      <c r="D114" s="16">
        <f>VLOOKUP(D63,'[1]BAZA PODATAKA'!A93:E104,3)</f>
        <v>8</v>
      </c>
      <c r="E114" s="33" t="s">
        <v>26</v>
      </c>
    </row>
    <row r="115" spans="3:5" ht="15.75">
      <c r="C115" s="15" t="s">
        <v>177</v>
      </c>
      <c r="D115" s="16">
        <f>'[1]BAZA PODATAKA'!AI12</f>
        <v>63</v>
      </c>
      <c r="E115" s="33" t="s">
        <v>26</v>
      </c>
    </row>
    <row r="116" ht="15.75">
      <c r="B116" s="36" t="s">
        <v>223</v>
      </c>
    </row>
    <row r="117" spans="3:5" ht="15.75">
      <c r="C117" s="23" t="s">
        <v>201</v>
      </c>
      <c r="D117" s="24">
        <f>VLOOKUP(D63,'[1]BAZA PODATAKA'!A93:E104,4)</f>
        <v>4.7</v>
      </c>
      <c r="E117" s="22" t="s">
        <v>26</v>
      </c>
    </row>
    <row r="118" spans="3:5" ht="15.75">
      <c r="C118" s="23" t="s">
        <v>286</v>
      </c>
      <c r="D118" s="24">
        <f>VLOOKUP(D63,'[1]BAZA PODATAKA'!A93:E104,5)</f>
        <v>3.7</v>
      </c>
      <c r="E118" s="22" t="s">
        <v>26</v>
      </c>
    </row>
    <row r="119" spans="2:5" ht="15.75">
      <c r="B119" s="22"/>
      <c r="C119" s="23" t="s">
        <v>224</v>
      </c>
      <c r="D119" s="24">
        <f>D114-D117</f>
        <v>3.3</v>
      </c>
      <c r="E119" s="22" t="s">
        <v>26</v>
      </c>
    </row>
    <row r="120" spans="2:5" ht="15.75">
      <c r="B120" s="25" t="s">
        <v>225</v>
      </c>
      <c r="C120" s="23" t="s">
        <v>226</v>
      </c>
      <c r="D120" s="24">
        <f>D115-D113</f>
        <v>53</v>
      </c>
      <c r="E120" s="22" t="s">
        <v>26</v>
      </c>
    </row>
    <row r="121" spans="2:5" ht="15.75">
      <c r="B121" s="25" t="s">
        <v>227</v>
      </c>
      <c r="D121" s="24">
        <f>IF(E121&gt;2,2,E121)</f>
        <v>2</v>
      </c>
      <c r="E121" s="37">
        <f>ROUNDUP(2*D20*D7/(88*D120*D119*D63),0)</f>
        <v>2</v>
      </c>
    </row>
    <row r="122" spans="2:5" ht="15.75">
      <c r="B122" s="25" t="s">
        <v>228</v>
      </c>
      <c r="C122" s="23" t="s">
        <v>229</v>
      </c>
      <c r="D122" s="24">
        <f>ROUND(2*D20*D7/(D121*D63),0)</f>
        <v>8166</v>
      </c>
      <c r="E122" s="22" t="s">
        <v>65</v>
      </c>
    </row>
    <row r="123" spans="2:5" ht="16.5" thickBot="1">
      <c r="B123" s="25" t="s">
        <v>230</v>
      </c>
      <c r="C123" s="23" t="s">
        <v>231</v>
      </c>
      <c r="D123" s="24">
        <f>ROUND(D122/(D120*D119),0)</f>
        <v>47</v>
      </c>
      <c r="E123" s="22" t="s">
        <v>33</v>
      </c>
    </row>
    <row r="124" spans="3:5" ht="16.5" thickBot="1">
      <c r="C124" s="34"/>
      <c r="D124" s="35" t="str">
        <f>IF(D123&lt;=88,"ZADOVOQAVA","NE ZADOVOQAVA")</f>
        <v>ZADOVOQAVA</v>
      </c>
      <c r="E124" s="38"/>
    </row>
    <row r="126" ht="15.75">
      <c r="B126" s="36" t="s">
        <v>232</v>
      </c>
    </row>
    <row r="127" spans="2:3" ht="15.75">
      <c r="B127" s="25" t="s">
        <v>233</v>
      </c>
      <c r="C127" s="23" t="s">
        <v>234</v>
      </c>
    </row>
    <row r="128" spans="3:5" ht="15.75">
      <c r="C128" s="23" t="s">
        <v>235</v>
      </c>
      <c r="D128" s="24">
        <v>330</v>
      </c>
      <c r="E128" s="22" t="s">
        <v>33</v>
      </c>
    </row>
    <row r="129" spans="2:5" ht="15.75">
      <c r="B129" s="25" t="s">
        <v>34</v>
      </c>
      <c r="C129" s="7" t="s">
        <v>287</v>
      </c>
      <c r="D129" s="24">
        <f>0.8*D128</f>
        <v>264</v>
      </c>
      <c r="E129" s="22" t="s">
        <v>33</v>
      </c>
    </row>
    <row r="130" spans="2:5" ht="16.5" thickBot="1">
      <c r="B130" s="25" t="s">
        <v>236</v>
      </c>
      <c r="C130" s="7" t="s">
        <v>288</v>
      </c>
      <c r="D130" s="24">
        <f>ROUND(D122/(D120*D113),0)</f>
        <v>15</v>
      </c>
      <c r="E130" s="22" t="s">
        <v>33</v>
      </c>
    </row>
    <row r="131" spans="3:5" ht="16.5" thickBot="1">
      <c r="C131" s="39"/>
      <c r="D131" s="35" t="str">
        <f>IF(D130&lt;D129,"ZADOVOQAVA","NE ZADOVOQAVA")</f>
        <v>ZADOVOQAVA</v>
      </c>
      <c r="E131" s="38"/>
    </row>
    <row r="133" spans="2:5" ht="15.75">
      <c r="B133" s="40">
        <f>IF(E121&gt;2,"Klin ne zadovoqava pa usvajamo o`qebqeno vratilo","")</f>
      </c>
      <c r="C133" s="41">
        <f>IF(E121&gt;2,"m=","")</f>
      </c>
      <c r="D133" s="42">
        <f>IF(E121&gt;2,IF(D63&gt;52,10,IF(D63&gt;28,8,6)),"")</f>
      </c>
      <c r="E133" s="43"/>
    </row>
  </sheetData>
  <sheetProtection password="F1A6" sheet="1" objects="1" scenarios="1" selectLockedCells="1" selectUnlockedCells="1"/>
  <mergeCells count="1">
    <mergeCell ref="B2:D2"/>
  </mergeCells>
  <printOptions horizontalCentered="1"/>
  <pageMargins left="0.3937007874015748" right="0.3937007874015748" top="0.7874015748031497" bottom="0.5905511811023623" header="0.5118110236220472" footer="0.5118110236220472"/>
  <pageSetup orientation="portrait" paperSize="9" r:id="rId1"/>
  <headerFooter alignWithMargins="0">
    <oddFooter>&amp;CП.В.I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E133"/>
  <sheetViews>
    <sheetView workbookViewId="0" topLeftCell="A34">
      <selection activeCell="B2" sqref="B2:D2"/>
    </sheetView>
  </sheetViews>
  <sheetFormatPr defaultColWidth="9.140625" defaultRowHeight="12.75"/>
  <cols>
    <col min="1" max="1" width="17.8515625" style="22" customWidth="1"/>
    <col min="2" max="2" width="69.28125" style="22" customWidth="1"/>
    <col min="3" max="3" width="12.140625" style="22" customWidth="1"/>
    <col min="4" max="4" width="9.8515625" style="22" customWidth="1"/>
    <col min="5" max="5" width="8.7109375" style="22" customWidth="1"/>
    <col min="6" max="16384" width="10.28125" style="22" customWidth="1"/>
  </cols>
  <sheetData>
    <row r="1" spans="3:4" ht="15.75">
      <c r="C1" s="23"/>
      <c r="D1" s="24"/>
    </row>
    <row r="2" spans="2:4" ht="15.75">
      <c r="B2" s="66" t="s">
        <v>238</v>
      </c>
      <c r="C2" s="67"/>
      <c r="D2" s="67"/>
    </row>
    <row r="3" spans="2:4" ht="15.75">
      <c r="B3" s="25"/>
      <c r="C3" s="23"/>
      <c r="D3" s="24"/>
    </row>
    <row r="4" spans="2:4" ht="15.75">
      <c r="B4" s="26" t="s">
        <v>1</v>
      </c>
      <c r="C4" s="23"/>
      <c r="D4" s="24"/>
    </row>
    <row r="5" spans="2:5" ht="15.75">
      <c r="B5" s="25" t="s">
        <v>2</v>
      </c>
      <c r="C5" s="2" t="s">
        <v>3</v>
      </c>
      <c r="D5" s="16">
        <f>'PRORACUN ZUPCANIKA (2)'!D6</f>
        <v>34</v>
      </c>
      <c r="E5" s="1" t="s">
        <v>4</v>
      </c>
    </row>
    <row r="6" spans="2:5" ht="15.75">
      <c r="B6" s="25" t="s">
        <v>239</v>
      </c>
      <c r="C6" s="2" t="s">
        <v>240</v>
      </c>
      <c r="D6" s="16">
        <f>ROUND('PRORACUN ZUPCANIKA (2)'!D7/'PRORACUN ZUPCANIKA (2)'!D98,0)</f>
        <v>503</v>
      </c>
      <c r="E6" s="1" t="s">
        <v>6</v>
      </c>
    </row>
    <row r="7" spans="2:5" ht="15.75">
      <c r="B7" s="25" t="s">
        <v>174</v>
      </c>
      <c r="C7" s="2" t="s">
        <v>241</v>
      </c>
      <c r="D7" s="16">
        <f>'PRORACUN ZUPCANIKA (2)'!D17</f>
        <v>1.25</v>
      </c>
      <c r="E7" s="1"/>
    </row>
    <row r="8" spans="2:4" ht="15.75">
      <c r="B8" s="25"/>
      <c r="C8" s="23"/>
      <c r="D8" s="24"/>
    </row>
    <row r="9" spans="2:5" ht="15.75">
      <c r="B9" s="25" t="s">
        <v>175</v>
      </c>
      <c r="C9" s="2"/>
      <c r="D9" s="27" t="str">
        <f>VLOOKUP('[1]POLAZNI PODACI (2)'!E46,'[1]BAZA PODATAKA'!J4:K9,2)</f>
        <v>C.0460</v>
      </c>
      <c r="E9" s="1"/>
    </row>
    <row r="10" spans="2:5" ht="15.75">
      <c r="B10" s="28" t="s">
        <v>176</v>
      </c>
      <c r="C10" s="23" t="s">
        <v>177</v>
      </c>
      <c r="D10" s="24">
        <f>24+'PRORACUN ZUPCANIKA (2)'!D109+'PRORACUN LEZAJA (2)'!D68</f>
        <v>93</v>
      </c>
      <c r="E10" s="22" t="s">
        <v>26</v>
      </c>
    </row>
    <row r="11" spans="2:5" ht="15.75">
      <c r="B11" s="25" t="s">
        <v>178</v>
      </c>
      <c r="C11" s="2" t="s">
        <v>242</v>
      </c>
      <c r="D11" s="16">
        <f>D10/2</f>
        <v>46.5</v>
      </c>
      <c r="E11" s="1" t="s">
        <v>26</v>
      </c>
    </row>
    <row r="12" spans="2:5" ht="15.75">
      <c r="B12" s="25" t="s">
        <v>179</v>
      </c>
      <c r="C12" s="2" t="s">
        <v>243</v>
      </c>
      <c r="D12" s="16">
        <f>D10-D11</f>
        <v>46.5</v>
      </c>
      <c r="E12" s="1" t="s">
        <v>26</v>
      </c>
    </row>
    <row r="13" spans="2:5" ht="15.75">
      <c r="B13" s="25" t="s">
        <v>180</v>
      </c>
      <c r="C13" s="2" t="s">
        <v>244</v>
      </c>
      <c r="D13" s="16">
        <f>'PRORACUN ZUPCANIKA (2)'!D113</f>
        <v>242.3587</v>
      </c>
      <c r="E13" s="1" t="s">
        <v>26</v>
      </c>
    </row>
    <row r="14" spans="2:5" ht="15.75">
      <c r="B14" s="29"/>
      <c r="C14" s="23"/>
      <c r="D14" s="24"/>
      <c r="E14" s="30"/>
    </row>
    <row r="15" spans="2:5" ht="15.75">
      <c r="B15" s="25" t="s">
        <v>50</v>
      </c>
      <c r="C15" s="2" t="s">
        <v>245</v>
      </c>
      <c r="D15" s="16">
        <f>'[1]POLAZNI PODACI (2)'!E52</f>
        <v>4</v>
      </c>
      <c r="E15" s="30"/>
    </row>
    <row r="16" spans="2:4" ht="15.75">
      <c r="B16" s="28" t="s">
        <v>50</v>
      </c>
      <c r="C16" s="2" t="s">
        <v>246</v>
      </c>
      <c r="D16" s="16">
        <f>'[1]POLAZNI PODACI (2)'!E54</f>
        <v>3</v>
      </c>
    </row>
    <row r="17" spans="2:4" ht="15.75">
      <c r="B17" s="25"/>
      <c r="C17" s="23"/>
      <c r="D17" s="24"/>
    </row>
    <row r="18" spans="2:4" ht="15.75">
      <c r="B18" s="26" t="s">
        <v>181</v>
      </c>
      <c r="C18" s="23"/>
      <c r="D18" s="24"/>
    </row>
    <row r="19" spans="2:4" ht="15.75">
      <c r="B19" s="25"/>
      <c r="C19" s="23"/>
      <c r="D19" s="24"/>
    </row>
    <row r="20" spans="2:5" ht="15.75">
      <c r="B20" s="25" t="s">
        <v>247</v>
      </c>
      <c r="C20" s="23" t="s">
        <v>248</v>
      </c>
      <c r="D20" s="24">
        <f>ROUND(1000000*30*D5/(PI()*D6),0)</f>
        <v>645479</v>
      </c>
      <c r="E20" s="22" t="s">
        <v>28</v>
      </c>
    </row>
    <row r="21" spans="2:5" ht="15.75">
      <c r="B21" s="25" t="s">
        <v>182</v>
      </c>
      <c r="C21" s="23" t="s">
        <v>249</v>
      </c>
      <c r="D21" s="24">
        <f>ROUND(2*D20*D7/D13,0)</f>
        <v>6658</v>
      </c>
      <c r="E21" s="22" t="s">
        <v>65</v>
      </c>
    </row>
    <row r="22" spans="2:5" ht="15.75">
      <c r="B22" s="25" t="s">
        <v>183</v>
      </c>
      <c r="C22" s="2" t="s">
        <v>250</v>
      </c>
      <c r="D22" s="16">
        <f>ROUND(D21*TAN(RADIANS('PRORACUN ZUPCANIKA (2)'!D21))/COS(RADIANS('PRORACUN ZUPCANIKA (2)'!D10)),0)</f>
        <v>2447</v>
      </c>
      <c r="E22" s="1" t="s">
        <v>65</v>
      </c>
    </row>
    <row r="23" spans="2:5" ht="15.75">
      <c r="B23" s="25" t="s">
        <v>184</v>
      </c>
      <c r="C23" s="2" t="s">
        <v>251</v>
      </c>
      <c r="D23" s="16">
        <f>ROUND(D21*TAN(RADIANS('PRORACUN ZUPCANIKA (2)'!D10)),0)</f>
        <v>936</v>
      </c>
      <c r="E23" s="1" t="s">
        <v>65</v>
      </c>
    </row>
    <row r="24" spans="2:4" ht="15.75">
      <c r="B24" s="25"/>
      <c r="C24" s="23"/>
      <c r="D24" s="24"/>
    </row>
    <row r="25" spans="2:4" ht="15.75">
      <c r="B25" s="26" t="s">
        <v>252</v>
      </c>
      <c r="C25" s="23"/>
      <c r="D25" s="24"/>
    </row>
    <row r="26" spans="2:5" ht="15.75">
      <c r="B26" s="25" t="s">
        <v>185</v>
      </c>
      <c r="C26" s="23" t="s">
        <v>253</v>
      </c>
      <c r="D26" s="24">
        <f>ROUND(D21*D12/(D11+D12),2)</f>
        <v>3329</v>
      </c>
      <c r="E26" s="22" t="s">
        <v>65</v>
      </c>
    </row>
    <row r="27" spans="2:5" ht="15.75">
      <c r="B27" s="25"/>
      <c r="C27" s="23" t="s">
        <v>254</v>
      </c>
      <c r="D27" s="24">
        <f>ROUND(D21-D26,2)</f>
        <v>3329</v>
      </c>
      <c r="E27" s="22" t="s">
        <v>65</v>
      </c>
    </row>
    <row r="28" spans="2:5" ht="15.75">
      <c r="B28" s="25" t="s">
        <v>186</v>
      </c>
      <c r="C28" s="23" t="s">
        <v>255</v>
      </c>
      <c r="D28" s="24">
        <f>ROUND((D23*D13/2+D22*D12)/(D11+D12),0)</f>
        <v>2443</v>
      </c>
      <c r="E28" s="22" t="s">
        <v>65</v>
      </c>
    </row>
    <row r="29" spans="2:5" ht="15.75">
      <c r="B29" s="25"/>
      <c r="C29" s="23" t="s">
        <v>256</v>
      </c>
      <c r="D29" s="24">
        <f>ROUND((-D23*D13/2+D22*D11)/(D11+D12),0)</f>
        <v>4</v>
      </c>
      <c r="E29" s="22" t="s">
        <v>65</v>
      </c>
    </row>
    <row r="30" spans="2:4" ht="15.75">
      <c r="B30" s="25" t="s">
        <v>187</v>
      </c>
      <c r="C30" s="7" t="s">
        <v>257</v>
      </c>
      <c r="D30" s="24">
        <f>D22-D28-D29</f>
        <v>0</v>
      </c>
    </row>
    <row r="31" spans="2:4" ht="15.75">
      <c r="B31" s="25"/>
      <c r="C31" s="7"/>
      <c r="D31" s="24"/>
    </row>
    <row r="32" spans="2:4" ht="15.75">
      <c r="B32" s="26" t="s">
        <v>258</v>
      </c>
      <c r="C32" s="7"/>
      <c r="D32" s="24"/>
    </row>
    <row r="33" spans="2:5" ht="15.75">
      <c r="B33" s="25" t="s">
        <v>185</v>
      </c>
      <c r="C33" s="23" t="s">
        <v>259</v>
      </c>
      <c r="D33" s="24">
        <f>ROUND(D26*D11,0)</f>
        <v>154799</v>
      </c>
      <c r="E33" s="22" t="s">
        <v>28</v>
      </c>
    </row>
    <row r="34" spans="2:5" ht="15.75">
      <c r="B34" s="25" t="s">
        <v>186</v>
      </c>
      <c r="C34" s="23" t="s">
        <v>260</v>
      </c>
      <c r="D34" s="24">
        <f>ROUND(D28*D11,0)</f>
        <v>113600</v>
      </c>
      <c r="E34" s="22" t="s">
        <v>28</v>
      </c>
    </row>
    <row r="35" spans="2:5" ht="15.75">
      <c r="B35" s="25"/>
      <c r="C35" s="23" t="s">
        <v>261</v>
      </c>
      <c r="D35" s="24">
        <f>ROUND(D29*D12,0)</f>
        <v>186</v>
      </c>
      <c r="E35" s="22" t="s">
        <v>28</v>
      </c>
    </row>
    <row r="36" spans="2:4" ht="15.75">
      <c r="B36" s="26" t="s">
        <v>262</v>
      </c>
      <c r="C36" s="23"/>
      <c r="D36" s="24"/>
    </row>
    <row r="37" spans="2:5" ht="15.75">
      <c r="B37" s="25"/>
      <c r="C37" s="23" t="s">
        <v>263</v>
      </c>
      <c r="D37" s="24">
        <f>ROUND((D33^2+D34^2)^0.5,0)</f>
        <v>192010</v>
      </c>
      <c r="E37" s="22" t="s">
        <v>28</v>
      </c>
    </row>
    <row r="38" spans="2:5" ht="15.75">
      <c r="B38" s="25"/>
      <c r="C38" s="23" t="s">
        <v>188</v>
      </c>
      <c r="D38" s="24">
        <f>ROUND((D33^2+D35^2)^0.5,0)</f>
        <v>154799</v>
      </c>
      <c r="E38" s="22" t="s">
        <v>28</v>
      </c>
    </row>
    <row r="39" spans="2:4" ht="15.75">
      <c r="B39" s="25"/>
      <c r="C39" s="23"/>
      <c r="D39" s="24"/>
    </row>
    <row r="40" spans="2:4" ht="15.75">
      <c r="B40" s="26" t="s">
        <v>189</v>
      </c>
      <c r="C40" s="31" t="str">
        <f>D9</f>
        <v>C.0460</v>
      </c>
      <c r="D40" s="24"/>
    </row>
    <row r="41" spans="2:5" ht="15.75">
      <c r="B41" s="25"/>
      <c r="C41" s="7" t="s">
        <v>264</v>
      </c>
      <c r="D41" s="24">
        <f>'[1]PRORACUN VRATILA I (2)'!D41</f>
        <v>190</v>
      </c>
      <c r="E41" s="22" t="s">
        <v>33</v>
      </c>
    </row>
    <row r="42" spans="2:5" ht="15.75">
      <c r="B42" s="25"/>
      <c r="C42" s="7" t="s">
        <v>265</v>
      </c>
      <c r="D42" s="24">
        <f>'[1]PRORACUN VRATILA I (2)'!D42</f>
        <v>150</v>
      </c>
      <c r="E42" s="22" t="s">
        <v>33</v>
      </c>
    </row>
    <row r="43" spans="2:5" ht="15.75">
      <c r="B43" s="25" t="s">
        <v>34</v>
      </c>
      <c r="C43" s="7" t="s">
        <v>266</v>
      </c>
      <c r="D43" s="24">
        <f>ROUND(D41/D15,0)</f>
        <v>48</v>
      </c>
      <c r="E43" s="22" t="s">
        <v>33</v>
      </c>
    </row>
    <row r="44" spans="2:5" ht="15.75">
      <c r="B44" s="25" t="s">
        <v>34</v>
      </c>
      <c r="C44" s="7" t="s">
        <v>267</v>
      </c>
      <c r="D44" s="24">
        <f>ROUND(D42/D16,0)</f>
        <v>50</v>
      </c>
      <c r="E44" s="22" t="s">
        <v>33</v>
      </c>
    </row>
    <row r="45" spans="2:4" ht="15.75">
      <c r="B45" s="25" t="s">
        <v>190</v>
      </c>
      <c r="C45" s="7" t="s">
        <v>268</v>
      </c>
      <c r="D45" s="24">
        <f>ROUND(D41/D42,1)</f>
        <v>1.3</v>
      </c>
    </row>
    <row r="46" spans="2:4" ht="15.75">
      <c r="B46" s="25"/>
      <c r="C46" s="23"/>
      <c r="D46" s="24"/>
    </row>
    <row r="47" spans="2:4" ht="15.75">
      <c r="B47" s="26" t="s">
        <v>269</v>
      </c>
      <c r="C47" s="23"/>
      <c r="D47" s="24"/>
    </row>
    <row r="48" spans="2:5" ht="15.75">
      <c r="B48" s="25" t="s">
        <v>191</v>
      </c>
      <c r="C48" s="23" t="s">
        <v>270</v>
      </c>
      <c r="D48" s="24">
        <f>D20</f>
        <v>645479</v>
      </c>
      <c r="E48" s="22" t="s">
        <v>28</v>
      </c>
    </row>
    <row r="49" spans="2:5" ht="15.75">
      <c r="B49" s="25" t="s">
        <v>192</v>
      </c>
      <c r="C49" s="23" t="s">
        <v>271</v>
      </c>
      <c r="D49" s="24">
        <f>ROUND((D38^2+(D45*D20/2)^2)^0.5,0)</f>
        <v>447207</v>
      </c>
      <c r="E49" s="22" t="s">
        <v>28</v>
      </c>
    </row>
    <row r="50" spans="2:4" ht="15.75">
      <c r="B50" s="25"/>
      <c r="C50" s="23"/>
      <c r="D50" s="24"/>
    </row>
    <row r="51" spans="2:4" ht="15.75">
      <c r="B51" s="26" t="s">
        <v>193</v>
      </c>
      <c r="C51" s="23"/>
      <c r="D51" s="24"/>
    </row>
    <row r="52" spans="2:4" ht="15.75">
      <c r="B52" s="26" t="s">
        <v>194</v>
      </c>
      <c r="C52" s="23"/>
      <c r="D52" s="24"/>
    </row>
    <row r="53" spans="2:5" ht="15.75">
      <c r="B53" s="25" t="s">
        <v>191</v>
      </c>
      <c r="C53" s="23" t="s">
        <v>272</v>
      </c>
      <c r="D53" s="24">
        <f>ROUND((16*D48/(PI()*D44))^(1/3),1)</f>
        <v>40.4</v>
      </c>
      <c r="E53" s="22" t="s">
        <v>26</v>
      </c>
    </row>
    <row r="54" spans="2:5" ht="15.75">
      <c r="B54" s="25" t="s">
        <v>192</v>
      </c>
      <c r="C54" s="23" t="s">
        <v>273</v>
      </c>
      <c r="D54" s="24">
        <f>ROUND((32*D49/(PI()*D43))^(1/3),1)</f>
        <v>45.6</v>
      </c>
      <c r="E54" s="22" t="s">
        <v>26</v>
      </c>
    </row>
    <row r="55" spans="2:4" ht="15.75">
      <c r="B55" s="25"/>
      <c r="C55" s="23"/>
      <c r="D55" s="24"/>
    </row>
    <row r="56" spans="2:4" ht="15.75">
      <c r="B56" s="26" t="s">
        <v>195</v>
      </c>
      <c r="C56" s="23"/>
      <c r="D56" s="24"/>
    </row>
    <row r="57" spans="2:5" ht="15.75">
      <c r="B57" s="25" t="s">
        <v>191</v>
      </c>
      <c r="C57" s="23" t="s">
        <v>274</v>
      </c>
      <c r="D57" s="24">
        <f>ROUND(1.2*D53,1)</f>
        <v>48.5</v>
      </c>
      <c r="E57" s="22" t="s">
        <v>26</v>
      </c>
    </row>
    <row r="58" spans="2:5" ht="15.75">
      <c r="B58" s="25" t="s">
        <v>192</v>
      </c>
      <c r="C58" s="23" t="s">
        <v>275</v>
      </c>
      <c r="D58" s="24">
        <f>ROUND(1.2*D54,1)</f>
        <v>54.7</v>
      </c>
      <c r="E58" s="22" t="s">
        <v>26</v>
      </c>
    </row>
    <row r="59" spans="2:4" ht="15.75">
      <c r="B59" s="25"/>
      <c r="C59" s="23"/>
      <c r="D59" s="24"/>
    </row>
    <row r="60" spans="2:4" ht="16.5" thickBot="1">
      <c r="B60" s="26" t="s">
        <v>196</v>
      </c>
      <c r="C60" s="23"/>
      <c r="D60" s="24"/>
    </row>
    <row r="61" spans="2:4" ht="16.5" thickBot="1">
      <c r="B61" s="25"/>
      <c r="C61" s="23"/>
      <c r="D61" s="32">
        <f>'[1]POLAZNI PODACI (2)'!E74</f>
        <v>1</v>
      </c>
    </row>
    <row r="62" spans="2:4" ht="15.75">
      <c r="B62" s="25"/>
      <c r="C62" s="23"/>
      <c r="D62" s="24"/>
    </row>
    <row r="63" spans="2:5" ht="15.75">
      <c r="B63" s="25" t="s">
        <v>197</v>
      </c>
      <c r="C63" s="2" t="s">
        <v>276</v>
      </c>
      <c r="D63" s="3">
        <f>'[1]BAZA PODATAKA'!F70</f>
        <v>50</v>
      </c>
      <c r="E63" s="1" t="s">
        <v>26</v>
      </c>
    </row>
    <row r="64" spans="2:5" ht="15.75">
      <c r="B64" s="25" t="s">
        <v>198</v>
      </c>
      <c r="C64" s="2" t="s">
        <v>277</v>
      </c>
      <c r="D64" s="3">
        <f>'[1]BAZA PODATAKA'!F73</f>
        <v>55</v>
      </c>
      <c r="E64" s="1" t="s">
        <v>26</v>
      </c>
    </row>
    <row r="65" spans="2:5" ht="15.75">
      <c r="B65" s="25" t="s">
        <v>192</v>
      </c>
      <c r="C65" s="2" t="s">
        <v>275</v>
      </c>
      <c r="D65" s="3">
        <f>'[1]BAZA PODATAKA'!F83</f>
        <v>60</v>
      </c>
      <c r="E65" s="1" t="s">
        <v>26</v>
      </c>
    </row>
    <row r="66" spans="2:4" ht="15.75">
      <c r="B66" s="25"/>
      <c r="C66" s="23"/>
      <c r="D66" s="24"/>
    </row>
    <row r="67" spans="2:4" ht="15.75">
      <c r="B67" s="26" t="s">
        <v>199</v>
      </c>
      <c r="C67" s="23"/>
      <c r="D67" s="24"/>
    </row>
    <row r="68" spans="2:5" ht="15.75">
      <c r="B68" s="28" t="s">
        <v>200</v>
      </c>
      <c r="C68" s="15" t="s">
        <v>201</v>
      </c>
      <c r="D68" s="16">
        <f>VLOOKUP(D65,'[1]BAZA PODATAKA'!A93:E104,4)</f>
        <v>6.8</v>
      </c>
      <c r="E68" s="33" t="s">
        <v>26</v>
      </c>
    </row>
    <row r="69" spans="2:5" ht="15.75">
      <c r="B69" s="25" t="s">
        <v>202</v>
      </c>
      <c r="C69" s="2" t="s">
        <v>203</v>
      </c>
      <c r="D69" s="3">
        <v>2</v>
      </c>
      <c r="E69" s="1" t="s">
        <v>26</v>
      </c>
    </row>
    <row r="70" spans="2:4" ht="15.75">
      <c r="B70" s="25"/>
      <c r="C70" s="23" t="s">
        <v>204</v>
      </c>
      <c r="D70" s="24">
        <f>ROUND(D68/D65,1)</f>
        <v>0.1</v>
      </c>
    </row>
    <row r="71" spans="2:4" ht="15.75">
      <c r="B71" s="25"/>
      <c r="C71" s="23" t="s">
        <v>205</v>
      </c>
      <c r="D71" s="24">
        <f>ROUND(D69/D68,1)</f>
        <v>0.3</v>
      </c>
    </row>
    <row r="72" spans="2:5" ht="15.75">
      <c r="B72" s="25" t="s">
        <v>206</v>
      </c>
      <c r="C72" s="7" t="s">
        <v>278</v>
      </c>
      <c r="D72" s="3">
        <f>VLOOKUP(D71,'[1]BAZA PODATAKA'!I96:J101,2)</f>
        <v>2.8</v>
      </c>
      <c r="E72" s="30"/>
    </row>
    <row r="73" spans="2:4" ht="15.75">
      <c r="B73" s="25" t="s">
        <v>207</v>
      </c>
      <c r="C73" s="7" t="s">
        <v>279</v>
      </c>
      <c r="D73" s="3">
        <v>0.65</v>
      </c>
    </row>
    <row r="74" spans="2:4" ht="15.75">
      <c r="B74" s="25" t="s">
        <v>208</v>
      </c>
      <c r="C74" s="7" t="s">
        <v>280</v>
      </c>
      <c r="D74" s="24">
        <f>ROUND((D72-1)*D73+1,2)</f>
        <v>2.17</v>
      </c>
    </row>
    <row r="75" spans="2:4" ht="15.75">
      <c r="B75" s="25" t="s">
        <v>209</v>
      </c>
      <c r="C75" s="7" t="s">
        <v>281</v>
      </c>
      <c r="D75" s="3">
        <v>0.9</v>
      </c>
    </row>
    <row r="76" spans="2:4" ht="15.75">
      <c r="B76" s="25" t="s">
        <v>210</v>
      </c>
      <c r="C76" s="7" t="s">
        <v>282</v>
      </c>
      <c r="D76" s="3">
        <f>'[1]BAZA PODATAKA'!O92</f>
        <v>0.78</v>
      </c>
    </row>
    <row r="77" spans="2:4" ht="15.75">
      <c r="B77" s="25" t="s">
        <v>211</v>
      </c>
      <c r="C77" s="7" t="s">
        <v>282</v>
      </c>
      <c r="D77" s="3">
        <f>'[1]BAZA PODATAKA'!R92</f>
        <v>0.74</v>
      </c>
    </row>
    <row r="78" spans="2:4" ht="15.75">
      <c r="B78" s="25"/>
      <c r="C78" s="23"/>
      <c r="D78" s="24"/>
    </row>
    <row r="79" spans="2:5" ht="15.75">
      <c r="B79" s="25" t="s">
        <v>212</v>
      </c>
      <c r="C79" s="23" t="s">
        <v>213</v>
      </c>
      <c r="D79" s="24">
        <f>ROUND((D65-D68)^3*PI()/32,0)</f>
        <v>14782</v>
      </c>
      <c r="E79" s="22" t="s">
        <v>214</v>
      </c>
    </row>
    <row r="80" spans="2:5" ht="15.75">
      <c r="B80" s="25" t="s">
        <v>215</v>
      </c>
      <c r="C80" s="23" t="s">
        <v>216</v>
      </c>
      <c r="D80" s="24">
        <f>2*D79</f>
        <v>29564</v>
      </c>
      <c r="E80" s="22" t="s">
        <v>214</v>
      </c>
    </row>
    <row r="81" spans="2:4" ht="15.75">
      <c r="B81" s="25"/>
      <c r="C81" s="23"/>
      <c r="D81" s="24"/>
    </row>
    <row r="82" spans="2:5" ht="15.75">
      <c r="B82" s="25" t="s">
        <v>217</v>
      </c>
      <c r="C82" s="7" t="s">
        <v>283</v>
      </c>
      <c r="D82" s="24">
        <f>ROUND(D38/D79,1)</f>
        <v>10.5</v>
      </c>
      <c r="E82" s="22" t="s">
        <v>33</v>
      </c>
    </row>
    <row r="83" spans="2:5" ht="15.75">
      <c r="B83" s="25" t="s">
        <v>218</v>
      </c>
      <c r="C83" s="7" t="s">
        <v>284</v>
      </c>
      <c r="D83" s="24">
        <f>ROUND(D20/D80,0)</f>
        <v>22</v>
      </c>
      <c r="E83" s="22" t="s">
        <v>33</v>
      </c>
    </row>
    <row r="84" spans="2:4" ht="15.75">
      <c r="B84" s="25"/>
      <c r="C84" s="23"/>
      <c r="D84" s="24"/>
    </row>
    <row r="85" spans="2:4" ht="15.75">
      <c r="B85" s="25" t="s">
        <v>50</v>
      </c>
      <c r="C85" s="23" t="s">
        <v>285</v>
      </c>
      <c r="D85" s="24">
        <f>ROUND(D41*D76*D75/(D74*D82),2)</f>
        <v>5.85</v>
      </c>
    </row>
    <row r="86" spans="2:4" ht="15.75">
      <c r="B86" s="25" t="s">
        <v>50</v>
      </c>
      <c r="C86" s="23" t="s">
        <v>246</v>
      </c>
      <c r="D86" s="24">
        <f>ROUND(D42*D77*D75/(D74*D83),2)</f>
        <v>2.09</v>
      </c>
    </row>
    <row r="87" spans="2:4" ht="16.5" thickBot="1">
      <c r="B87" s="25" t="s">
        <v>219</v>
      </c>
      <c r="C87" s="23" t="s">
        <v>51</v>
      </c>
      <c r="D87" s="24">
        <f>ROUND(D85*D86/((D85^2+D86^2)^0.5),2)</f>
        <v>1.97</v>
      </c>
    </row>
    <row r="88" spans="2:5" ht="16.5" thickBot="1">
      <c r="B88" s="25"/>
      <c r="C88" s="34"/>
      <c r="D88" s="35" t="str">
        <f>IF(D87&lt;1.5,"NE ZADOVOQAVA",IF(AND(D87&gt;=1.5,D87&lt;=3),"ZADOVOQAVA",IF(D87&gt;3,"PREDIMENZIONISANO")))</f>
        <v>ZADOVOQAVA</v>
      </c>
      <c r="E88" s="14"/>
    </row>
    <row r="89" spans="2:4" ht="15.75">
      <c r="B89" s="25"/>
      <c r="C89" s="23"/>
      <c r="D89" s="24"/>
    </row>
    <row r="90" spans="2:4" ht="15.75">
      <c r="B90" s="26" t="s">
        <v>220</v>
      </c>
      <c r="C90" s="23"/>
      <c r="D90" s="24"/>
    </row>
    <row r="91" spans="2:5" ht="15.75">
      <c r="B91" s="28" t="s">
        <v>221</v>
      </c>
      <c r="C91" s="15" t="s">
        <v>67</v>
      </c>
      <c r="D91" s="16">
        <f>VLOOKUP(D65,'[1]BAZA PODATAKA'!A93:E104,2)</f>
        <v>18</v>
      </c>
      <c r="E91" s="33" t="s">
        <v>26</v>
      </c>
    </row>
    <row r="92" spans="2:5" ht="15.75">
      <c r="B92" s="33" t="str">
        <f>D91&amp;"x"&amp;D92&amp;"x"&amp;D93&amp;"   JUS M.C2.060."</f>
        <v>18x11x40   JUS M.C2.060.</v>
      </c>
      <c r="C92" s="15" t="s">
        <v>222</v>
      </c>
      <c r="D92" s="16">
        <f>VLOOKUP(D65,'[1]BAZA PODATAKA'!A93:E104,3)</f>
        <v>11</v>
      </c>
      <c r="E92" s="33" t="s">
        <v>26</v>
      </c>
    </row>
    <row r="93" spans="2:5" ht="15.75">
      <c r="B93" s="25"/>
      <c r="C93" s="15" t="s">
        <v>177</v>
      </c>
      <c r="D93" s="16">
        <f>'[1]PRORACUN VRATILA I (2)'!D93</f>
        <v>40</v>
      </c>
      <c r="E93" s="33" t="s">
        <v>26</v>
      </c>
    </row>
    <row r="94" spans="2:5" ht="15.75">
      <c r="B94" s="25"/>
      <c r="C94" s="23" t="s">
        <v>286</v>
      </c>
      <c r="D94" s="16">
        <f>VLOOKUP(D65,'[1]BAZA PODATAKA'!A93:E104,5)</f>
        <v>4.5</v>
      </c>
      <c r="E94" s="33" t="s">
        <v>26</v>
      </c>
    </row>
    <row r="95" ht="15.75">
      <c r="B95" s="36" t="s">
        <v>223</v>
      </c>
    </row>
    <row r="96" spans="3:5" ht="15.75">
      <c r="C96" s="23" t="s">
        <v>224</v>
      </c>
      <c r="D96" s="24">
        <f>D92-D68</f>
        <v>4.2</v>
      </c>
      <c r="E96" s="22" t="s">
        <v>26</v>
      </c>
    </row>
    <row r="97" spans="2:5" ht="15.75">
      <c r="B97" s="25" t="s">
        <v>225</v>
      </c>
      <c r="C97" s="23" t="s">
        <v>226</v>
      </c>
      <c r="D97" s="24">
        <f>D93-D91</f>
        <v>22</v>
      </c>
      <c r="E97" s="22" t="s">
        <v>26</v>
      </c>
    </row>
    <row r="98" spans="2:5" ht="15.75">
      <c r="B98" s="25" t="s">
        <v>227</v>
      </c>
      <c r="C98" s="23"/>
      <c r="D98" s="24">
        <f>IF(E98&gt;2,2,E98)</f>
        <v>2</v>
      </c>
      <c r="E98" s="37">
        <f>ROUNDUP(2*D20*D7/(88*D97*D96*D65),0)</f>
        <v>4</v>
      </c>
    </row>
    <row r="99" spans="2:5" ht="15.75">
      <c r="B99" s="25" t="s">
        <v>228</v>
      </c>
      <c r="C99" s="23" t="s">
        <v>229</v>
      </c>
      <c r="D99" s="24">
        <f>ROUND(2*D20*D7/(D98*D65),0)</f>
        <v>13447</v>
      </c>
      <c r="E99" s="22" t="s">
        <v>65</v>
      </c>
    </row>
    <row r="100" spans="2:5" ht="16.5" thickBot="1">
      <c r="B100" s="25" t="s">
        <v>230</v>
      </c>
      <c r="C100" s="23" t="s">
        <v>231</v>
      </c>
      <c r="D100" s="24">
        <f>ROUND(D99/(D97*D96),0)</f>
        <v>146</v>
      </c>
      <c r="E100" s="22" t="s">
        <v>33</v>
      </c>
    </row>
    <row r="101" spans="2:5" ht="16.5" thickBot="1">
      <c r="B101" s="25"/>
      <c r="C101" s="34"/>
      <c r="D101" s="35" t="str">
        <f>IF(D100&lt;=88,"ZADOVOQAVA","NE ZADOVOQAVA")</f>
        <v>NE ZADOVOQAVA</v>
      </c>
      <c r="E101" s="38"/>
    </row>
    <row r="103" spans="2:4" ht="15.75">
      <c r="B103" s="36" t="s">
        <v>232</v>
      </c>
      <c r="C103" s="23"/>
      <c r="D103" s="24"/>
    </row>
    <row r="104" spans="2:4" ht="15.75">
      <c r="B104" s="25" t="s">
        <v>233</v>
      </c>
      <c r="C104" s="23" t="s">
        <v>234</v>
      </c>
      <c r="D104" s="24"/>
    </row>
    <row r="105" spans="2:5" ht="15.75">
      <c r="B105" s="25"/>
      <c r="C105" s="23" t="s">
        <v>235</v>
      </c>
      <c r="D105" s="24">
        <v>330</v>
      </c>
      <c r="E105" s="22" t="s">
        <v>33</v>
      </c>
    </row>
    <row r="106" spans="2:5" ht="15.75">
      <c r="B106" s="25" t="s">
        <v>34</v>
      </c>
      <c r="C106" s="7" t="s">
        <v>287</v>
      </c>
      <c r="D106" s="24">
        <f>0.8*D105</f>
        <v>264</v>
      </c>
      <c r="E106" s="22" t="s">
        <v>33</v>
      </c>
    </row>
    <row r="107" spans="2:5" ht="16.5" thickBot="1">
      <c r="B107" s="25" t="s">
        <v>236</v>
      </c>
      <c r="C107" s="7" t="s">
        <v>288</v>
      </c>
      <c r="D107" s="24">
        <f>ROUND(D99/(D97*D91),0)</f>
        <v>34</v>
      </c>
      <c r="E107" s="22" t="s">
        <v>33</v>
      </c>
    </row>
    <row r="108" spans="2:5" ht="16.5" thickBot="1">
      <c r="B108" s="25"/>
      <c r="C108" s="39"/>
      <c r="D108" s="35" t="str">
        <f>IF(D107&lt;D106,"ZADOVOQAVA","NE ZADOVOQAVA")</f>
        <v>ZADOVOQAVA</v>
      </c>
      <c r="E108" s="38"/>
    </row>
    <row r="110" spans="2:5" ht="15.75">
      <c r="B110" s="40" t="str">
        <f>IF(E98&gt;2,"Klin ne zadovoqava pa usvajamo o`qebqeno vratilo","")</f>
        <v>Klin ne zadovoqava pa usvajamo o`qebqeno vratilo</v>
      </c>
      <c r="C110" s="41" t="str">
        <f>IF(E98&gt;2,"m=","")</f>
        <v>m=</v>
      </c>
      <c r="D110" s="42">
        <f>IF(E98&gt;2,IF(D65&gt;52,10,IF(D65&gt;28,8,6)),"")</f>
        <v>10</v>
      </c>
      <c r="E110" s="43"/>
    </row>
    <row r="111" spans="2:4" ht="15.75">
      <c r="B111" s="25"/>
      <c r="C111" s="23"/>
      <c r="D111" s="24"/>
    </row>
    <row r="112" spans="2:4" ht="15.75">
      <c r="B112" s="26" t="s">
        <v>237</v>
      </c>
      <c r="C112" s="23"/>
      <c r="D112" s="24"/>
    </row>
    <row r="113" spans="2:5" ht="15.75">
      <c r="B113" s="25" t="s">
        <v>221</v>
      </c>
      <c r="C113" s="15" t="s">
        <v>67</v>
      </c>
      <c r="D113" s="16">
        <f>VLOOKUP(D63,'[1]BAZA PODATAKA'!A93:E104,2)</f>
        <v>14</v>
      </c>
      <c r="E113" s="33" t="s">
        <v>26</v>
      </c>
    </row>
    <row r="114" spans="2:5" ht="15.75">
      <c r="B114" s="33" t="str">
        <f>D113&amp;"x"&amp;D114&amp;"x"&amp;D115&amp;"   JUS M.C2.060."</f>
        <v>14x9x90   JUS M.C2.060.</v>
      </c>
      <c r="C114" s="15" t="s">
        <v>222</v>
      </c>
      <c r="D114" s="16">
        <f>VLOOKUP(D63,'[1]BAZA PODATAKA'!A93:E104,3)</f>
        <v>9</v>
      </c>
      <c r="E114" s="33" t="s">
        <v>26</v>
      </c>
    </row>
    <row r="115" spans="2:5" ht="15.75">
      <c r="B115" s="25"/>
      <c r="C115" s="15" t="s">
        <v>177</v>
      </c>
      <c r="D115" s="16">
        <f>'[1]BAZA PODATAKA'!AI18</f>
        <v>90</v>
      </c>
      <c r="E115" s="33" t="s">
        <v>26</v>
      </c>
    </row>
    <row r="116" spans="2:4" ht="15.75">
      <c r="B116" s="36" t="s">
        <v>223</v>
      </c>
      <c r="C116" s="23"/>
      <c r="D116" s="24"/>
    </row>
    <row r="117" spans="2:5" ht="15.75">
      <c r="B117" s="25"/>
      <c r="C117" s="23" t="s">
        <v>201</v>
      </c>
      <c r="D117" s="24">
        <f>VLOOKUP(D63,'[1]BAZA PODATAKA'!A93:E104,4)</f>
        <v>5.5</v>
      </c>
      <c r="E117" s="22" t="s">
        <v>26</v>
      </c>
    </row>
    <row r="118" spans="2:5" ht="15.75">
      <c r="B118" s="25"/>
      <c r="C118" s="23" t="s">
        <v>286</v>
      </c>
      <c r="D118" s="24">
        <f>VLOOKUP(D63,'[1]BAZA PODATAKA'!A93:E104,5)</f>
        <v>4</v>
      </c>
      <c r="E118" s="22" t="s">
        <v>26</v>
      </c>
    </row>
    <row r="119" spans="3:5" ht="15.75">
      <c r="C119" s="23" t="s">
        <v>224</v>
      </c>
      <c r="D119" s="24">
        <f>D114-D117</f>
        <v>3.5</v>
      </c>
      <c r="E119" s="22" t="s">
        <v>26</v>
      </c>
    </row>
    <row r="120" spans="2:5" ht="15.75">
      <c r="B120" s="25" t="s">
        <v>225</v>
      </c>
      <c r="C120" s="23" t="s">
        <v>226</v>
      </c>
      <c r="D120" s="24">
        <f>D115-D113</f>
        <v>76</v>
      </c>
      <c r="E120" s="22" t="s">
        <v>26</v>
      </c>
    </row>
    <row r="121" spans="2:5" ht="15.75">
      <c r="B121" s="25" t="s">
        <v>227</v>
      </c>
      <c r="C121" s="23"/>
      <c r="D121" s="24">
        <f>IF(E121&gt;2,2,E121)</f>
        <v>2</v>
      </c>
      <c r="E121" s="37">
        <f>ROUNDUP(2*D20*D7/(88*D120*D119*D63),0)</f>
        <v>2</v>
      </c>
    </row>
    <row r="122" spans="2:5" ht="15.75">
      <c r="B122" s="25" t="s">
        <v>228</v>
      </c>
      <c r="C122" s="23" t="s">
        <v>229</v>
      </c>
      <c r="D122" s="24">
        <f>ROUND(2*D20*D7/(D121*D63),0)</f>
        <v>16137</v>
      </c>
      <c r="E122" s="22" t="s">
        <v>65</v>
      </c>
    </row>
    <row r="123" spans="2:5" ht="16.5" thickBot="1">
      <c r="B123" s="25" t="s">
        <v>230</v>
      </c>
      <c r="C123" s="23" t="s">
        <v>231</v>
      </c>
      <c r="D123" s="24">
        <f>ROUND(D122/(D120*D119),0)</f>
        <v>61</v>
      </c>
      <c r="E123" s="22" t="s">
        <v>33</v>
      </c>
    </row>
    <row r="124" spans="2:5" ht="16.5" thickBot="1">
      <c r="B124" s="25"/>
      <c r="C124" s="34"/>
      <c r="D124" s="35" t="str">
        <f>IF(D123&lt;=88,"ZADOVOQAVA","NE ZADOVOQAVA")</f>
        <v>ZADOVOQAVA</v>
      </c>
      <c r="E124" s="38"/>
    </row>
    <row r="125" spans="2:4" ht="15.75">
      <c r="B125" s="25"/>
      <c r="C125" s="23"/>
      <c r="D125" s="24"/>
    </row>
    <row r="126" spans="2:4" ht="15.75">
      <c r="B126" s="36" t="s">
        <v>232</v>
      </c>
      <c r="C126" s="23"/>
      <c r="D126" s="24"/>
    </row>
    <row r="127" spans="2:4" ht="15.75">
      <c r="B127" s="25" t="s">
        <v>233</v>
      </c>
      <c r="C127" s="23" t="s">
        <v>234</v>
      </c>
      <c r="D127" s="24"/>
    </row>
    <row r="128" spans="2:5" ht="15.75">
      <c r="B128" s="25"/>
      <c r="C128" s="23" t="s">
        <v>235</v>
      </c>
      <c r="D128" s="24">
        <v>330</v>
      </c>
      <c r="E128" s="22" t="s">
        <v>33</v>
      </c>
    </row>
    <row r="129" spans="2:5" ht="15.75">
      <c r="B129" s="25" t="s">
        <v>34</v>
      </c>
      <c r="C129" s="7" t="s">
        <v>287</v>
      </c>
      <c r="D129" s="24">
        <f>0.8*D128</f>
        <v>264</v>
      </c>
      <c r="E129" s="22" t="s">
        <v>33</v>
      </c>
    </row>
    <row r="130" spans="2:5" ht="16.5" thickBot="1">
      <c r="B130" s="25" t="s">
        <v>236</v>
      </c>
      <c r="C130" s="7" t="s">
        <v>288</v>
      </c>
      <c r="D130" s="24">
        <f>ROUND(D122/(D120*D113),0)</f>
        <v>15</v>
      </c>
      <c r="E130" s="22" t="s">
        <v>33</v>
      </c>
    </row>
    <row r="131" spans="2:5" ht="16.5" thickBot="1">
      <c r="B131" s="25"/>
      <c r="C131" s="39"/>
      <c r="D131" s="35" t="str">
        <f>IF(D130&lt;D129,"ZADOVOQAVA","NE ZADOVOQAVA")</f>
        <v>ZADOVOQAVA</v>
      </c>
      <c r="E131" s="38"/>
    </row>
    <row r="133" spans="2:5" ht="15.75">
      <c r="B133" s="40">
        <f>IF(E121&gt;2,"Klin ne zadovoqava pa usvajamo o`qebqeno vratilo","")</f>
      </c>
      <c r="C133" s="41">
        <f>IF(E121&gt;2,"m=","")</f>
      </c>
      <c r="D133" s="42">
        <f>IF(E121&gt;2,IF(D63&gt;52,10,IF(D63&gt;28,8,6)),"")</f>
      </c>
      <c r="E133" s="43"/>
    </row>
  </sheetData>
  <sheetProtection password="F1A6" sheet="1" objects="1" scenarios="1" selectLockedCells="1" selectUnlockedCells="1"/>
  <mergeCells count="1">
    <mergeCell ref="B2:D2"/>
  </mergeCells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1"/>
  <headerFooter alignWithMargins="0">
    <oddFooter>&amp;CП.В.II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F170"/>
  <sheetViews>
    <sheetView workbookViewId="0" topLeftCell="A148">
      <selection activeCell="B2" sqref="B2:D2"/>
    </sheetView>
  </sheetViews>
  <sheetFormatPr defaultColWidth="9.140625" defaultRowHeight="12.75"/>
  <cols>
    <col min="1" max="1" width="17.8515625" style="1" customWidth="1"/>
    <col min="2" max="2" width="69.28125" style="1" customWidth="1"/>
    <col min="3" max="5" width="10.28125" style="1" customWidth="1"/>
    <col min="6" max="6" width="31.57421875" style="4" customWidth="1"/>
    <col min="7" max="16384" width="10.28125" style="1" customWidth="1"/>
  </cols>
  <sheetData>
    <row r="1" spans="3:4" ht="15.75">
      <c r="C1" s="2"/>
      <c r="D1" s="3"/>
    </row>
    <row r="2" spans="2:4" ht="15.75">
      <c r="B2" s="68" t="s">
        <v>0</v>
      </c>
      <c r="C2" s="67"/>
      <c r="D2" s="67"/>
    </row>
    <row r="3" spans="2:4" ht="15.75">
      <c r="B3" s="5"/>
      <c r="C3" s="2"/>
      <c r="D3" s="3"/>
    </row>
    <row r="4" spans="2:4" ht="15.75">
      <c r="B4" s="6" t="s">
        <v>1</v>
      </c>
      <c r="C4" s="2"/>
      <c r="D4" s="3"/>
    </row>
    <row r="5" spans="2:4" ht="15.75">
      <c r="B5" s="5"/>
      <c r="C5" s="2"/>
      <c r="D5" s="3"/>
    </row>
    <row r="6" spans="2:5" ht="15.75">
      <c r="B6" s="5" t="s">
        <v>2</v>
      </c>
      <c r="C6" s="2" t="s">
        <v>3</v>
      </c>
      <c r="D6" s="3">
        <f>IF(AND('[1]POLAZNI PODACI (2)'!E12&gt;=8,'[1]POLAZNI PODACI (2)'!E12&lt;100),'[1]POLAZNI PODACI (2)'!E12,IF('[1]POLAZNI PODACI (2)'!E12&lt;8,8,100))</f>
        <v>34</v>
      </c>
      <c r="E6" s="1" t="s">
        <v>4</v>
      </c>
    </row>
    <row r="7" spans="2:5" ht="15.75">
      <c r="B7" s="5" t="s">
        <v>5</v>
      </c>
      <c r="C7" s="2" t="s">
        <v>104</v>
      </c>
      <c r="D7" s="3">
        <f>IF(AND('[1]POLAZNI PODACI (2)'!E14&gt;=300,'[1]POLAZNI PODACI (2)'!E14&lt;=3000),'[1]POLAZNI PODACI (2)'!E14,IF('[1]POLAZNI PODACI (2)'!E14&lt;300,300,3000))</f>
        <v>1420</v>
      </c>
      <c r="E7" s="1" t="s">
        <v>6</v>
      </c>
    </row>
    <row r="8" spans="2:4" ht="15.75">
      <c r="B8" s="5" t="s">
        <v>7</v>
      </c>
      <c r="C8" s="2" t="s">
        <v>8</v>
      </c>
      <c r="D8" s="3">
        <f>IF(AND('[1]POLAZNI PODACI (2)'!E16&gt;=1,'[1]POLAZNI PODACI (2)'!E16&lt;=10),'[1]POLAZNI PODACI (2)'!E16,IF('[1]POLAZNI PODACI (2)'!E16&lt;1,1,10))</f>
        <v>2.8</v>
      </c>
    </row>
    <row r="9" spans="2:4" ht="15.75">
      <c r="B9" s="5" t="s">
        <v>9</v>
      </c>
      <c r="C9" s="2" t="s">
        <v>105</v>
      </c>
      <c r="D9" s="3">
        <f>IF(AND('[1]POLAZNI PODACI (2)'!E18&gt;=16,'[1]POLAZNI PODACI (2)'!E18&lt;=100),'[1]POLAZNI PODACI (2)'!E18,IF('[1]POLAZNI PODACI (2)'!E18&lt;16,16,100))</f>
        <v>17</v>
      </c>
    </row>
    <row r="10" spans="2:6" ht="15.75">
      <c r="B10" s="5" t="s">
        <v>10</v>
      </c>
      <c r="C10" s="7" t="s">
        <v>106</v>
      </c>
      <c r="D10" s="3">
        <f>IF(AND('[1]POLAZNI PODACI (2)'!E20&gt;=5,'[1]POLAZNI PODACI (2)'!E20&lt;=25),'[1]POLAZNI PODACI (2)'!E20,IF('[1]POLAZNI PODACI (2)'!E20&lt;5,5,25))</f>
        <v>8</v>
      </c>
      <c r="E10" s="8"/>
      <c r="F10" s="9"/>
    </row>
    <row r="11" spans="2:4" ht="15.75">
      <c r="B11" s="5" t="s">
        <v>11</v>
      </c>
      <c r="C11" s="2"/>
      <c r="D11" s="5" t="str">
        <f>LOWER(VLOOKUP('[1]POLAZNI PODACI (2)'!E22,'[1]BAZA PODATAKA'!A52:B53,2))</f>
        <v>levi</v>
      </c>
    </row>
    <row r="12" spans="2:6" ht="15.75">
      <c r="B12" s="5" t="s">
        <v>12</v>
      </c>
      <c r="C12" s="7" t="s">
        <v>107</v>
      </c>
      <c r="D12" s="3">
        <f>IF(AND('[1]POLAZNI PODACI (2)'!E24&gt;=0.4,'[1]POLAZNI PODACI (2)'!E24&lt;=1.4),'[1]POLAZNI PODACI (2)'!E24,IF('[1]POLAZNI PODACI (2)'!E24&lt;0.4,0.4,1.4))</f>
        <v>0.5</v>
      </c>
      <c r="F12" s="9"/>
    </row>
    <row r="13" spans="2:4" ht="15.75">
      <c r="B13" s="5" t="s">
        <v>13</v>
      </c>
      <c r="C13" s="2" t="s">
        <v>108</v>
      </c>
      <c r="D13" s="3">
        <f>'[1]POLAZNI PODACI (2)'!E26</f>
        <v>0</v>
      </c>
    </row>
    <row r="14" spans="2:4" ht="15.75">
      <c r="B14" s="5" t="s">
        <v>13</v>
      </c>
      <c r="C14" s="2" t="s">
        <v>109</v>
      </c>
      <c r="D14" s="3">
        <f>'[1]POLAZNI PODACI (2)'!E28</f>
        <v>0</v>
      </c>
    </row>
    <row r="15" spans="2:4" ht="15.75">
      <c r="B15" s="5" t="s">
        <v>14</v>
      </c>
      <c r="C15" s="2" t="s">
        <v>15</v>
      </c>
      <c r="D15" s="3">
        <f>'[1]BAZA PODATAKA'!Q11</f>
        <v>7</v>
      </c>
    </row>
    <row r="16" spans="2:4" ht="15.75">
      <c r="B16" s="5" t="s">
        <v>16</v>
      </c>
      <c r="C16" s="2"/>
      <c r="D16" s="10" t="str">
        <f>VLOOKUP('[1]POLAZNI PODACI (2)'!E32,'[1]BAZA PODATAKA'!J15:K25,2)</f>
        <v>C.4721</v>
      </c>
    </row>
    <row r="17" spans="2:4" ht="15.75">
      <c r="B17" s="5" t="s">
        <v>17</v>
      </c>
      <c r="C17" s="2" t="s">
        <v>110</v>
      </c>
      <c r="D17" s="3">
        <f>'[1]BAZA PODATAKA'!L73</f>
        <v>1.25</v>
      </c>
    </row>
    <row r="18" spans="2:4" ht="15.75">
      <c r="B18" s="5" t="s">
        <v>18</v>
      </c>
      <c r="C18" s="2"/>
      <c r="D18" s="5" t="s">
        <v>19</v>
      </c>
    </row>
    <row r="19" spans="2:6" ht="15.75">
      <c r="B19" s="5" t="s">
        <v>20</v>
      </c>
      <c r="C19" s="2" t="s">
        <v>21</v>
      </c>
      <c r="D19" s="3">
        <f>IF(AND('[1]POLAZNI PODACI (2)'!E40&gt;=1.4,'[1]POLAZNI PODACI (2)'!E40&lt;=2),'[1]POLAZNI PODACI (2)'!E40,IF('[1]POLAZNI PODACI (2)'!E40&lt;1.4,1.4,2))</f>
        <v>1.5</v>
      </c>
      <c r="F19" s="11"/>
    </row>
    <row r="20" spans="2:4" ht="15.75">
      <c r="B20" s="5" t="s">
        <v>22</v>
      </c>
      <c r="C20" s="2" t="s">
        <v>111</v>
      </c>
      <c r="D20" s="3">
        <f>'[1]BAZA PODATAKA'!O58</f>
        <v>1.03</v>
      </c>
    </row>
    <row r="21" spans="2:4" ht="15.75">
      <c r="B21" s="5" t="s">
        <v>23</v>
      </c>
      <c r="C21" s="7" t="s">
        <v>112</v>
      </c>
      <c r="D21" s="3">
        <f>'[1]POLAZNI PODACI (2)'!E42</f>
        <v>20</v>
      </c>
    </row>
    <row r="22" spans="2:4" ht="15.75">
      <c r="B22" s="5"/>
      <c r="C22" s="2"/>
      <c r="D22" s="3"/>
    </row>
    <row r="23" spans="2:4" ht="15.75">
      <c r="B23" s="6" t="s">
        <v>24</v>
      </c>
      <c r="C23" s="2"/>
      <c r="D23" s="3"/>
    </row>
    <row r="24" spans="2:4" ht="15.75">
      <c r="B24" s="5"/>
      <c r="C24" s="2"/>
      <c r="D24" s="3"/>
    </row>
    <row r="25" spans="2:5" ht="15.75">
      <c r="B25" s="5" t="s">
        <v>25</v>
      </c>
      <c r="C25" s="2" t="s">
        <v>113</v>
      </c>
      <c r="D25" s="3">
        <f>ROUND((((2*D27)/(D12*(D30)^2))*((D8+1)/D8)*D42*(D40)^2)^0.33333,0)</f>
        <v>72</v>
      </c>
      <c r="E25" s="1" t="s">
        <v>26</v>
      </c>
    </row>
    <row r="26" spans="2:4" ht="15.75">
      <c r="B26" s="5"/>
      <c r="C26" s="2"/>
      <c r="D26" s="3"/>
    </row>
    <row r="27" spans="2:5" ht="15.75">
      <c r="B27" s="5" t="s">
        <v>27</v>
      </c>
      <c r="C27" s="2" t="s">
        <v>114</v>
      </c>
      <c r="D27" s="3">
        <f>ROUND(1000000*D6/D28,0)</f>
        <v>228648</v>
      </c>
      <c r="E27" s="1" t="s">
        <v>28</v>
      </c>
    </row>
    <row r="28" spans="2:5" ht="15.75">
      <c r="B28" s="5" t="s">
        <v>29</v>
      </c>
      <c r="C28" s="7" t="s">
        <v>30</v>
      </c>
      <c r="D28" s="3">
        <f>ROUND(PI()*D7/30,2)</f>
        <v>148.7</v>
      </c>
      <c r="E28" s="1" t="s">
        <v>31</v>
      </c>
    </row>
    <row r="29" spans="2:5" ht="15.75">
      <c r="B29" s="5" t="s">
        <v>32</v>
      </c>
      <c r="C29" s="7" t="s">
        <v>115</v>
      </c>
      <c r="D29" s="3">
        <f>VLOOKUP('[1]POLAZNI PODACI (2)'!E32,'[1]BAZA PODATAKA'!J15:L25,3)</f>
        <v>1480</v>
      </c>
      <c r="E29" s="1" t="s">
        <v>33</v>
      </c>
    </row>
    <row r="30" spans="2:5" ht="15.75">
      <c r="B30" s="5" t="s">
        <v>34</v>
      </c>
      <c r="C30" s="7" t="s">
        <v>116</v>
      </c>
      <c r="D30" s="3">
        <f>ROUND(D29/D19,0)</f>
        <v>987</v>
      </c>
      <c r="E30" s="1" t="s">
        <v>33</v>
      </c>
    </row>
    <row r="31" spans="2:4" ht="15.75">
      <c r="B31" s="5"/>
      <c r="C31" s="2"/>
      <c r="D31" s="3"/>
    </row>
    <row r="32" spans="2:5" ht="15.75">
      <c r="B32" s="5" t="s">
        <v>35</v>
      </c>
      <c r="C32" s="2" t="s">
        <v>113</v>
      </c>
      <c r="D32" s="3">
        <f>D25</f>
        <v>72</v>
      </c>
      <c r="E32" s="1" t="s">
        <v>26</v>
      </c>
    </row>
    <row r="33" spans="2:5" ht="15.75">
      <c r="B33" s="5" t="s">
        <v>36</v>
      </c>
      <c r="C33" s="2" t="s">
        <v>37</v>
      </c>
      <c r="D33" s="3">
        <f>ROUND(D32*D28/(1000*2),2)</f>
        <v>5.35</v>
      </c>
      <c r="E33" s="1" t="s">
        <v>38</v>
      </c>
    </row>
    <row r="34" spans="2:4" ht="15.75">
      <c r="B34" s="5" t="s">
        <v>39</v>
      </c>
      <c r="C34" s="2" t="s">
        <v>117</v>
      </c>
      <c r="D34" s="3">
        <f>ROUND(D33*D9/100,2)</f>
        <v>0.91</v>
      </c>
    </row>
    <row r="35" spans="2:4" ht="15.75">
      <c r="B35" s="5" t="s">
        <v>40</v>
      </c>
      <c r="C35" s="2" t="s">
        <v>118</v>
      </c>
      <c r="D35" s="3">
        <f>'[1]BAZA PODATAKA'!R11</f>
        <v>1.04</v>
      </c>
    </row>
    <row r="36" spans="2:4" ht="15.75">
      <c r="B36" s="5" t="s">
        <v>40</v>
      </c>
      <c r="C36" s="2" t="s">
        <v>119</v>
      </c>
      <c r="D36" s="3">
        <f>'[1]BAZA PODATAKA'!S11</f>
        <v>1.08</v>
      </c>
    </row>
    <row r="37" spans="2:4" ht="15.75">
      <c r="B37" s="5" t="s">
        <v>41</v>
      </c>
      <c r="C37" s="7" t="s">
        <v>120</v>
      </c>
      <c r="D37" s="3">
        <f>D156</f>
        <v>0.415</v>
      </c>
    </row>
    <row r="38" spans="2:4" ht="15.75">
      <c r="B38" s="5" t="s">
        <v>40</v>
      </c>
      <c r="C38" s="2" t="s">
        <v>42</v>
      </c>
      <c r="D38" s="3">
        <f>ROUND(IF(D37&gt;=1,D35,D35-(D37*(D35-D36))),2)</f>
        <v>1.06</v>
      </c>
    </row>
    <row r="39" spans="2:4" ht="15.75">
      <c r="B39" s="5"/>
      <c r="C39" s="2"/>
      <c r="D39" s="3"/>
    </row>
    <row r="40" spans="2:4" ht="15.75">
      <c r="B40" s="5" t="s">
        <v>43</v>
      </c>
      <c r="C40" s="2" t="s">
        <v>44</v>
      </c>
      <c r="D40" s="3">
        <f>ROUND(2.5*189*COS(RADIANS(D10)),0)</f>
        <v>468</v>
      </c>
    </row>
    <row r="41" spans="2:4" ht="15.75">
      <c r="B41" s="5"/>
      <c r="C41" s="2"/>
      <c r="D41" s="3"/>
    </row>
    <row r="42" spans="2:4" ht="15.75">
      <c r="B42" s="5"/>
      <c r="C42" s="2" t="s">
        <v>121</v>
      </c>
      <c r="D42" s="3">
        <f>D17*D38*D20</f>
        <v>1.3647500000000001</v>
      </c>
    </row>
    <row r="43" spans="2:4" ht="15.75">
      <c r="B43" s="5"/>
      <c r="C43" s="2"/>
      <c r="D43" s="3"/>
    </row>
    <row r="44" spans="2:5" ht="15.75">
      <c r="B44" s="5" t="s">
        <v>45</v>
      </c>
      <c r="C44" s="2" t="s">
        <v>122</v>
      </c>
      <c r="D44" s="3">
        <f>ROUND(D25*COS(RADIANS(D10))/D9,3)</f>
        <v>4.194</v>
      </c>
      <c r="E44" s="1" t="s">
        <v>26</v>
      </c>
    </row>
    <row r="45" spans="2:5" ht="15.75">
      <c r="B45" s="5" t="s">
        <v>46</v>
      </c>
      <c r="C45" s="2" t="s">
        <v>122</v>
      </c>
      <c r="D45" s="3">
        <f>'[1]BAZA PODATAKA'!F36</f>
        <v>5</v>
      </c>
      <c r="E45" s="1" t="s">
        <v>26</v>
      </c>
    </row>
    <row r="46" spans="2:5" ht="15.75">
      <c r="B46" s="5" t="s">
        <v>47</v>
      </c>
      <c r="C46" s="2" t="s">
        <v>123</v>
      </c>
      <c r="D46" s="3">
        <f>ROUND(D45/COS(RADIANS(D10)),5)</f>
        <v>5.04914</v>
      </c>
      <c r="E46" s="1" t="s">
        <v>26</v>
      </c>
    </row>
    <row r="47" spans="2:5" ht="15.75">
      <c r="B47" s="5" t="s">
        <v>48</v>
      </c>
      <c r="C47" s="2" t="s">
        <v>113</v>
      </c>
      <c r="D47" s="3">
        <f>ROUND(D9*D46,4)</f>
        <v>85.8354</v>
      </c>
      <c r="E47" s="1" t="s">
        <v>26</v>
      </c>
    </row>
    <row r="48" spans="2:4" ht="15.75">
      <c r="B48" s="5"/>
      <c r="C48" s="2"/>
      <c r="D48" s="3"/>
    </row>
    <row r="49" spans="2:4" ht="15.75">
      <c r="B49" s="6" t="s">
        <v>49</v>
      </c>
      <c r="C49" s="2"/>
      <c r="D49" s="3"/>
    </row>
    <row r="50" spans="2:4" ht="15.75">
      <c r="B50" s="5"/>
      <c r="C50" s="2"/>
      <c r="D50" s="3"/>
    </row>
    <row r="51" spans="2:4" ht="16.5" thickBot="1">
      <c r="B51" s="5" t="s">
        <v>50</v>
      </c>
      <c r="C51" s="2" t="s">
        <v>51</v>
      </c>
      <c r="D51" s="3">
        <f>ROUND(D53*D54/D55,2)</f>
        <v>7.17</v>
      </c>
    </row>
    <row r="52" spans="2:5" ht="16.5" thickBot="1">
      <c r="B52" s="5"/>
      <c r="C52" s="12"/>
      <c r="D52" s="13" t="str">
        <f>IF(D51&gt;1.6,"ZADOVOQAVA","NE ZADOVOQAVA")</f>
        <v>ZADOVOQAVA</v>
      </c>
      <c r="E52" s="14"/>
    </row>
    <row r="53" spans="2:4" ht="15.75">
      <c r="B53" s="5" t="s">
        <v>52</v>
      </c>
      <c r="C53" s="2" t="s">
        <v>124</v>
      </c>
      <c r="D53" s="3">
        <f>IF(D45&gt;5,1.8,2)</f>
        <v>2</v>
      </c>
    </row>
    <row r="54" spans="2:5" ht="15.75">
      <c r="B54" s="5" t="s">
        <v>53</v>
      </c>
      <c r="C54" s="7" t="s">
        <v>125</v>
      </c>
      <c r="D54" s="10">
        <f>VLOOKUP('[1]POLAZNI PODACI (2)'!E32,'[1]BAZA PODATAKA'!J15:M25,4)</f>
        <v>416</v>
      </c>
      <c r="E54" s="1" t="s">
        <v>33</v>
      </c>
    </row>
    <row r="55" spans="2:5" ht="15.75">
      <c r="B55" s="5" t="s">
        <v>54</v>
      </c>
      <c r="C55" s="7" t="s">
        <v>126</v>
      </c>
      <c r="D55" s="3">
        <f>ROUND(D56*D59*D60*D62*D64*D17*D38*D63/(D65*D45),0)</f>
        <v>116</v>
      </c>
      <c r="E55" s="1" t="s">
        <v>33</v>
      </c>
    </row>
    <row r="56" spans="2:4" ht="15.75">
      <c r="B56" s="5" t="s">
        <v>55</v>
      </c>
      <c r="C56" s="15" t="s">
        <v>127</v>
      </c>
      <c r="D56" s="16">
        <f>'[1]BAZA PODATAKA'!O35</f>
        <v>3.02</v>
      </c>
    </row>
    <row r="57" spans="2:4" ht="15.75">
      <c r="B57" s="5" t="s">
        <v>56</v>
      </c>
      <c r="C57" s="2" t="s">
        <v>57</v>
      </c>
      <c r="D57" s="3">
        <f>IF(ROUND(D9/COS(RADIANS(D10))^3,0)&lt;17,17,ROUND(D9/COS(RADIANS(D10))^3,0))</f>
        <v>18</v>
      </c>
    </row>
    <row r="58" spans="2:4" ht="15.75">
      <c r="B58" s="5"/>
      <c r="C58" s="2" t="s">
        <v>108</v>
      </c>
      <c r="D58" s="3">
        <f>D13</f>
        <v>0</v>
      </c>
    </row>
    <row r="59" spans="2:4" ht="15.75">
      <c r="B59" s="5" t="s">
        <v>58</v>
      </c>
      <c r="C59" s="15" t="s">
        <v>59</v>
      </c>
      <c r="D59" s="16">
        <f>'[1]BAZA PODATAKA'!X35</f>
        <v>1.635</v>
      </c>
    </row>
    <row r="60" spans="2:4" ht="15.75">
      <c r="B60" s="5" t="s">
        <v>60</v>
      </c>
      <c r="C60" s="2" t="s">
        <v>128</v>
      </c>
      <c r="D60" s="3">
        <f>ROUND(0.25+(0.75/D61),3)</f>
        <v>0.722</v>
      </c>
    </row>
    <row r="61" spans="2:4" ht="15.75">
      <c r="B61" s="5" t="s">
        <v>61</v>
      </c>
      <c r="C61" s="7" t="s">
        <v>129</v>
      </c>
      <c r="D61" s="16">
        <f>D155</f>
        <v>1.59</v>
      </c>
    </row>
    <row r="62" spans="2:4" ht="15.75">
      <c r="B62" s="5" t="s">
        <v>62</v>
      </c>
      <c r="C62" s="2" t="s">
        <v>130</v>
      </c>
      <c r="D62" s="3">
        <f>ROUND(1-D37*D10/120,3)</f>
        <v>0.972</v>
      </c>
    </row>
    <row r="63" spans="2:4" ht="15.75">
      <c r="B63" s="5" t="s">
        <v>22</v>
      </c>
      <c r="C63" s="2" t="s">
        <v>131</v>
      </c>
      <c r="D63" s="3">
        <f>D20-0.01</f>
        <v>1.02</v>
      </c>
    </row>
    <row r="64" spans="2:5" ht="15.75">
      <c r="B64" s="5" t="s">
        <v>63</v>
      </c>
      <c r="C64" s="2" t="s">
        <v>64</v>
      </c>
      <c r="D64" s="3">
        <f>ROUND(2*D27/(D46*D9),0)</f>
        <v>5328</v>
      </c>
      <c r="E64" s="1" t="s">
        <v>65</v>
      </c>
    </row>
    <row r="65" spans="2:5" ht="15.75">
      <c r="B65" s="5" t="s">
        <v>66</v>
      </c>
      <c r="C65" s="2" t="s">
        <v>67</v>
      </c>
      <c r="D65" s="3">
        <f>ROUND(D12*D47,0)</f>
        <v>43</v>
      </c>
      <c r="E65" s="1" t="s">
        <v>26</v>
      </c>
    </row>
    <row r="66" spans="2:4" ht="15.75">
      <c r="B66" s="5"/>
      <c r="C66" s="2"/>
      <c r="D66" s="3"/>
    </row>
    <row r="67" spans="2:4" ht="15.75">
      <c r="B67" s="17" t="s">
        <v>68</v>
      </c>
      <c r="C67" s="2"/>
      <c r="D67" s="3"/>
    </row>
    <row r="68" spans="2:4" ht="15.75">
      <c r="B68" s="5"/>
      <c r="C68" s="2"/>
      <c r="D68" s="3"/>
    </row>
    <row r="69" spans="2:4" ht="15.75">
      <c r="B69" s="6" t="s">
        <v>69</v>
      </c>
      <c r="C69" s="2"/>
      <c r="D69" s="3"/>
    </row>
    <row r="70" spans="2:5" ht="15.75">
      <c r="B70" s="5" t="s">
        <v>2</v>
      </c>
      <c r="C70" s="2" t="s">
        <v>3</v>
      </c>
      <c r="D70" s="3">
        <f>D6</f>
        <v>34</v>
      </c>
      <c r="E70" s="1" t="s">
        <v>4</v>
      </c>
    </row>
    <row r="71" spans="2:5" ht="15.75">
      <c r="B71" s="5" t="s">
        <v>5</v>
      </c>
      <c r="C71" s="2" t="s">
        <v>132</v>
      </c>
      <c r="D71" s="3">
        <f>D7</f>
        <v>1420</v>
      </c>
      <c r="E71" s="1" t="s">
        <v>6</v>
      </c>
    </row>
    <row r="72" spans="2:4" ht="15.75">
      <c r="B72" s="5" t="s">
        <v>7</v>
      </c>
      <c r="C72" s="2" t="s">
        <v>8</v>
      </c>
      <c r="D72" s="3">
        <f>D8</f>
        <v>2.8</v>
      </c>
    </row>
    <row r="73" spans="2:5" ht="15.75">
      <c r="B73" s="5" t="s">
        <v>70</v>
      </c>
      <c r="C73" s="2" t="s">
        <v>133</v>
      </c>
      <c r="D73" s="3">
        <f>D71/D72</f>
        <v>507.14285714285717</v>
      </c>
      <c r="E73" s="1" t="s">
        <v>6</v>
      </c>
    </row>
    <row r="74" spans="2:4" ht="15.75">
      <c r="B74" s="5" t="s">
        <v>9</v>
      </c>
      <c r="C74" s="2" t="s">
        <v>105</v>
      </c>
      <c r="D74" s="3">
        <f>D9</f>
        <v>17</v>
      </c>
    </row>
    <row r="75" spans="2:5" ht="15.75">
      <c r="B75" s="5" t="s">
        <v>71</v>
      </c>
      <c r="C75" s="2" t="s">
        <v>134</v>
      </c>
      <c r="D75" s="3">
        <f>D45</f>
        <v>5</v>
      </c>
      <c r="E75" s="1" t="s">
        <v>26</v>
      </c>
    </row>
    <row r="76" spans="2:5" ht="15.75">
      <c r="B76" s="5" t="s">
        <v>72</v>
      </c>
      <c r="C76" s="2" t="s">
        <v>135</v>
      </c>
      <c r="D76" s="3">
        <f>D46</f>
        <v>5.04914</v>
      </c>
      <c r="E76" s="1" t="s">
        <v>26</v>
      </c>
    </row>
    <row r="77" spans="2:4" ht="15.75">
      <c r="B77" s="5"/>
      <c r="C77" s="18"/>
      <c r="D77" s="19"/>
    </row>
    <row r="78" spans="2:4" ht="15.75">
      <c r="B78" s="5"/>
      <c r="C78" s="2"/>
      <c r="D78" s="3"/>
    </row>
    <row r="79" spans="2:4" ht="15.75">
      <c r="B79" s="6" t="s">
        <v>73</v>
      </c>
      <c r="C79" s="2"/>
      <c r="D79" s="3"/>
    </row>
    <row r="80" spans="2:4" ht="15.75">
      <c r="B80" s="5"/>
      <c r="C80" s="2"/>
      <c r="D80" s="3"/>
    </row>
    <row r="81" spans="2:4" ht="15.75">
      <c r="B81" s="6" t="s">
        <v>74</v>
      </c>
      <c r="C81" s="2"/>
      <c r="D81" s="3"/>
    </row>
    <row r="82" spans="2:4" ht="15.75">
      <c r="B82" s="5"/>
      <c r="C82" s="2"/>
      <c r="D82" s="3"/>
    </row>
    <row r="83" spans="2:4" ht="15.75">
      <c r="B83" s="5" t="s">
        <v>23</v>
      </c>
      <c r="C83" s="7" t="s">
        <v>112</v>
      </c>
      <c r="D83" s="3">
        <f>D21</f>
        <v>20</v>
      </c>
    </row>
    <row r="84" spans="2:4" ht="15.75">
      <c r="B84" s="5" t="s">
        <v>75</v>
      </c>
      <c r="C84" s="7" t="s">
        <v>136</v>
      </c>
      <c r="D84" s="3">
        <f>D10</f>
        <v>8</v>
      </c>
    </row>
    <row r="85" spans="2:5" ht="15.75">
      <c r="B85" s="5"/>
      <c r="C85" s="7" t="s">
        <v>112</v>
      </c>
      <c r="D85" s="3">
        <f>RADIANS(D83)</f>
        <v>0.3490658503988659</v>
      </c>
      <c r="E85" s="1" t="s">
        <v>76</v>
      </c>
    </row>
    <row r="86" spans="2:5" ht="15.75">
      <c r="B86" s="5"/>
      <c r="C86" s="7" t="s">
        <v>106</v>
      </c>
      <c r="D86" s="3">
        <f>RADIANS(D84)</f>
        <v>0.13962634015954636</v>
      </c>
      <c r="E86" s="1" t="s">
        <v>76</v>
      </c>
    </row>
    <row r="87" spans="2:4" ht="15.75">
      <c r="B87" s="5"/>
      <c r="C87" s="2" t="s">
        <v>137</v>
      </c>
      <c r="D87" s="3">
        <f>TAN(D85)</f>
        <v>0.36397023426620234</v>
      </c>
    </row>
    <row r="88" spans="2:4" ht="15.75">
      <c r="B88" s="5"/>
      <c r="C88" s="2" t="s">
        <v>138</v>
      </c>
      <c r="D88" s="3">
        <f>COS(D86)</f>
        <v>0.9902680687415704</v>
      </c>
    </row>
    <row r="89" spans="2:4" ht="15.75">
      <c r="B89" s="5"/>
      <c r="C89" s="2"/>
      <c r="D89" s="3"/>
    </row>
    <row r="90" spans="2:5" ht="15.75">
      <c r="B90" s="5" t="s">
        <v>77</v>
      </c>
      <c r="C90" s="7" t="s">
        <v>139</v>
      </c>
      <c r="D90" s="3">
        <f>ATAN(D87/D88)</f>
        <v>0.35222073396563786</v>
      </c>
      <c r="E90" s="1" t="s">
        <v>76</v>
      </c>
    </row>
    <row r="91" spans="2:4" ht="15.75">
      <c r="B91" s="5"/>
      <c r="C91" s="7" t="s">
        <v>139</v>
      </c>
      <c r="D91" s="3">
        <f>DEGREES(D90)</f>
        <v>20.18076151323121</v>
      </c>
    </row>
    <row r="92" spans="2:4" ht="15.75">
      <c r="B92" s="5"/>
      <c r="C92" s="2" t="s">
        <v>140</v>
      </c>
      <c r="D92" s="3">
        <f>TAN(D90)</f>
        <v>0.36754717813807186</v>
      </c>
    </row>
    <row r="93" spans="2:4" ht="15.75">
      <c r="B93" s="5"/>
      <c r="C93" s="2"/>
      <c r="D93" s="3"/>
    </row>
    <row r="94" spans="2:4" ht="15.75">
      <c r="B94" s="6" t="s">
        <v>78</v>
      </c>
      <c r="C94" s="2"/>
      <c r="D94" s="3"/>
    </row>
    <row r="95" spans="2:4" ht="15.75">
      <c r="B95" s="5"/>
      <c r="C95" s="2"/>
      <c r="D95" s="3"/>
    </row>
    <row r="96" spans="2:4" ht="15.75">
      <c r="B96" s="5" t="s">
        <v>9</v>
      </c>
      <c r="C96" s="2" t="s">
        <v>105</v>
      </c>
      <c r="D96" s="3">
        <f>D9</f>
        <v>17</v>
      </c>
    </row>
    <row r="97" spans="2:4" ht="15.75">
      <c r="B97" s="5" t="s">
        <v>79</v>
      </c>
      <c r="C97" s="2" t="s">
        <v>141</v>
      </c>
      <c r="D97" s="3">
        <f>ROUND(D96*D72,0)</f>
        <v>48</v>
      </c>
    </row>
    <row r="98" spans="2:4" ht="15.75">
      <c r="B98" s="5" t="s">
        <v>80</v>
      </c>
      <c r="C98" s="2" t="s">
        <v>81</v>
      </c>
      <c r="D98" s="3">
        <f>ROUND(D97/D96,5)</f>
        <v>2.82353</v>
      </c>
    </row>
    <row r="99" spans="2:4" ht="15.75">
      <c r="B99" s="5" t="s">
        <v>82</v>
      </c>
      <c r="C99" s="2"/>
      <c r="D99" s="3"/>
    </row>
    <row r="100" spans="2:4" ht="15.75">
      <c r="B100" s="5"/>
      <c r="C100" s="2" t="s">
        <v>142</v>
      </c>
      <c r="D100" s="3">
        <f>ROUND(D96/D88^3,2)</f>
        <v>17.51</v>
      </c>
    </row>
    <row r="101" spans="2:4" ht="15.75">
      <c r="B101" s="5"/>
      <c r="C101" s="2" t="s">
        <v>143</v>
      </c>
      <c r="D101" s="3">
        <f>ROUND(D97/D88^3,2)</f>
        <v>49.43</v>
      </c>
    </row>
    <row r="102" spans="2:4" ht="15.75">
      <c r="B102" s="5"/>
      <c r="C102" s="2"/>
      <c r="D102" s="3"/>
    </row>
    <row r="103" spans="2:4" ht="15.75">
      <c r="B103" s="20" t="s">
        <v>83</v>
      </c>
      <c r="C103" s="2"/>
      <c r="D103" s="3"/>
    </row>
    <row r="104" spans="2:4" ht="15.75">
      <c r="B104" s="5"/>
      <c r="C104" s="2"/>
      <c r="D104" s="3"/>
    </row>
    <row r="105" spans="2:5" ht="15.75">
      <c r="B105" s="5" t="s">
        <v>72</v>
      </c>
      <c r="C105" s="2" t="s">
        <v>135</v>
      </c>
      <c r="D105" s="3">
        <f>D76</f>
        <v>5.04914</v>
      </c>
      <c r="E105" s="1" t="s">
        <v>26</v>
      </c>
    </row>
    <row r="106" spans="2:5" ht="15.75">
      <c r="B106" s="5" t="s">
        <v>84</v>
      </c>
      <c r="C106" s="2" t="s">
        <v>67</v>
      </c>
      <c r="D106" s="3">
        <f>ROUND(D12*D105*D96,2)</f>
        <v>42.92</v>
      </c>
      <c r="E106" s="1" t="s">
        <v>26</v>
      </c>
    </row>
    <row r="107" spans="2:4" ht="15.75">
      <c r="B107" s="5" t="s">
        <v>85</v>
      </c>
      <c r="C107" s="2"/>
      <c r="D107" s="3"/>
    </row>
    <row r="108" spans="2:5" ht="15.75">
      <c r="B108" s="5" t="s">
        <v>86</v>
      </c>
      <c r="C108" s="2" t="s">
        <v>144</v>
      </c>
      <c r="D108" s="3">
        <f>'[1]BAZA PODATAKA'!Y7</f>
        <v>44</v>
      </c>
      <c r="E108" s="1" t="s">
        <v>26</v>
      </c>
    </row>
    <row r="109" spans="2:5" ht="15.75">
      <c r="B109" s="5" t="s">
        <v>87</v>
      </c>
      <c r="C109" s="2" t="s">
        <v>145</v>
      </c>
      <c r="D109" s="3">
        <f>D108+4</f>
        <v>48</v>
      </c>
      <c r="E109" s="1" t="s">
        <v>26</v>
      </c>
    </row>
    <row r="110" spans="2:4" ht="15.75">
      <c r="B110" s="5"/>
      <c r="C110" s="2"/>
      <c r="D110" s="3"/>
    </row>
    <row r="111" spans="2:4" ht="15.75">
      <c r="B111" s="6" t="s">
        <v>88</v>
      </c>
      <c r="C111" s="2"/>
      <c r="D111" s="3"/>
    </row>
    <row r="112" spans="2:5" ht="15.75">
      <c r="B112" s="5"/>
      <c r="C112" s="2" t="s">
        <v>113</v>
      </c>
      <c r="D112" s="3">
        <f>ROUND(D96*D76,4)</f>
        <v>85.8354</v>
      </c>
      <c r="E112" s="1" t="s">
        <v>26</v>
      </c>
    </row>
    <row r="113" spans="2:5" ht="15.75">
      <c r="B113" s="5"/>
      <c r="C113" s="2" t="s">
        <v>146</v>
      </c>
      <c r="D113" s="3">
        <f>ROUND(D97*D76,4)</f>
        <v>242.3587</v>
      </c>
      <c r="E113" s="1" t="s">
        <v>26</v>
      </c>
    </row>
    <row r="114" spans="2:4" ht="15.75">
      <c r="B114" s="5"/>
      <c r="C114" s="2"/>
      <c r="D114" s="3"/>
    </row>
    <row r="115" spans="2:4" ht="15.75">
      <c r="B115" s="20" t="s">
        <v>89</v>
      </c>
      <c r="C115" s="2"/>
      <c r="D115" s="3"/>
    </row>
    <row r="116" spans="2:5" ht="15.75">
      <c r="B116" s="5"/>
      <c r="C116" s="2" t="s">
        <v>147</v>
      </c>
      <c r="D116" s="3">
        <f>ROUND(D112*COS(D90),4)</f>
        <v>80.5659</v>
      </c>
      <c r="E116" s="1" t="s">
        <v>26</v>
      </c>
    </row>
    <row r="117" spans="2:5" ht="15.75">
      <c r="B117" s="5"/>
      <c r="C117" s="2" t="s">
        <v>148</v>
      </c>
      <c r="D117" s="3">
        <f>ROUND(D113*COS(D90),4)</f>
        <v>227.48</v>
      </c>
      <c r="E117" s="1" t="s">
        <v>26</v>
      </c>
    </row>
    <row r="118" spans="2:5" ht="15.75">
      <c r="B118" s="5"/>
      <c r="C118" s="2" t="s">
        <v>149</v>
      </c>
      <c r="D118" s="3">
        <f>D116/2</f>
        <v>40.28295</v>
      </c>
      <c r="E118" s="1" t="s">
        <v>26</v>
      </c>
    </row>
    <row r="119" spans="2:5" ht="15.75">
      <c r="B119" s="5"/>
      <c r="C119" s="2" t="s">
        <v>150</v>
      </c>
      <c r="D119" s="3">
        <f>D117/2</f>
        <v>113.74</v>
      </c>
      <c r="E119" s="1" t="s">
        <v>26</v>
      </c>
    </row>
    <row r="120" spans="2:4" ht="15.75">
      <c r="B120" s="5"/>
      <c r="C120" s="2"/>
      <c r="D120" s="3"/>
    </row>
    <row r="121" spans="2:4" ht="15.75">
      <c r="B121" s="6" t="s">
        <v>90</v>
      </c>
      <c r="C121" s="2"/>
      <c r="D121" s="3"/>
    </row>
    <row r="122" spans="2:4" ht="15.75">
      <c r="B122" s="6"/>
      <c r="C122" s="2"/>
      <c r="D122" s="3"/>
    </row>
    <row r="123" spans="2:4" ht="15.75">
      <c r="B123" s="5" t="s">
        <v>151</v>
      </c>
      <c r="C123" s="7" t="s">
        <v>152</v>
      </c>
      <c r="D123" s="3">
        <f>D91</f>
        <v>20.18076151323121</v>
      </c>
    </row>
    <row r="124" spans="2:4" ht="15.75">
      <c r="B124" s="5"/>
      <c r="C124" s="2"/>
      <c r="D124" s="3"/>
    </row>
    <row r="125" spans="2:4" ht="15.75">
      <c r="B125" s="20" t="s">
        <v>91</v>
      </c>
      <c r="C125" s="2"/>
      <c r="D125" s="3"/>
    </row>
    <row r="126" spans="2:5" ht="15.75">
      <c r="B126" s="5"/>
      <c r="C126" s="2" t="s">
        <v>153</v>
      </c>
      <c r="D126" s="3">
        <f>D112</f>
        <v>85.8354</v>
      </c>
      <c r="E126" s="1" t="s">
        <v>26</v>
      </c>
    </row>
    <row r="127" spans="2:5" ht="15.75">
      <c r="B127" s="5"/>
      <c r="C127" s="2" t="s">
        <v>154</v>
      </c>
      <c r="D127" s="3">
        <f>D113</f>
        <v>242.3587</v>
      </c>
      <c r="E127" s="1" t="s">
        <v>26</v>
      </c>
    </row>
    <row r="128" spans="2:4" ht="15.75">
      <c r="B128" s="5"/>
      <c r="C128" s="2"/>
      <c r="D128" s="3"/>
    </row>
    <row r="129" spans="2:4" ht="15.75">
      <c r="B129" s="20" t="s">
        <v>92</v>
      </c>
      <c r="C129" s="2"/>
      <c r="D129" s="3"/>
    </row>
    <row r="130" spans="2:5" ht="15.75">
      <c r="B130" s="5"/>
      <c r="C130" s="2" t="s">
        <v>93</v>
      </c>
      <c r="D130" s="3">
        <f>D126/2+D127/2</f>
        <v>164.09705</v>
      </c>
      <c r="E130" s="1" t="s">
        <v>26</v>
      </c>
    </row>
    <row r="131" spans="2:4" ht="15.75">
      <c r="B131" s="5"/>
      <c r="C131" s="2"/>
      <c r="D131" s="3"/>
    </row>
    <row r="132" spans="2:4" ht="15.75">
      <c r="B132" s="20" t="s">
        <v>94</v>
      </c>
      <c r="C132" s="2"/>
      <c r="D132" s="3"/>
    </row>
    <row r="133" spans="2:5" ht="15.75">
      <c r="B133" s="5"/>
      <c r="C133" s="2" t="s">
        <v>155</v>
      </c>
      <c r="D133" s="3">
        <f>D112-2.5*D75</f>
        <v>73.3354</v>
      </c>
      <c r="E133" s="1" t="s">
        <v>26</v>
      </c>
    </row>
    <row r="134" spans="2:5" ht="15.75">
      <c r="B134" s="5"/>
      <c r="C134" s="2" t="s">
        <v>156</v>
      </c>
      <c r="D134" s="3">
        <f>D113-2.5*D75</f>
        <v>229.8587</v>
      </c>
      <c r="E134" s="1" t="s">
        <v>26</v>
      </c>
    </row>
    <row r="135" spans="2:4" ht="15.75">
      <c r="B135" s="5"/>
      <c r="C135" s="2"/>
      <c r="D135" s="3"/>
    </row>
    <row r="136" spans="2:4" ht="15.75">
      <c r="B136" s="20" t="s">
        <v>95</v>
      </c>
      <c r="C136" s="2"/>
      <c r="D136" s="3"/>
    </row>
    <row r="137" spans="2:5" ht="15.75">
      <c r="B137" s="5"/>
      <c r="C137" s="2" t="s">
        <v>157</v>
      </c>
      <c r="D137" s="3">
        <f>D112+2*D75*(1+D13)</f>
        <v>95.8354</v>
      </c>
      <c r="E137" s="1" t="s">
        <v>26</v>
      </c>
    </row>
    <row r="138" spans="2:5" ht="15.75">
      <c r="B138" s="5"/>
      <c r="C138" s="2" t="s">
        <v>158</v>
      </c>
      <c r="D138" s="3">
        <f>D113+2*D75*(1+D14)</f>
        <v>252.3587</v>
      </c>
      <c r="E138" s="1" t="s">
        <v>26</v>
      </c>
    </row>
    <row r="139" spans="2:4" ht="15.75">
      <c r="B139" s="21" t="s">
        <v>96</v>
      </c>
      <c r="C139" s="2"/>
      <c r="D139" s="3"/>
    </row>
    <row r="140" spans="2:6" ht="15.75">
      <c r="B140" s="5"/>
      <c r="C140" s="2" t="s">
        <v>157</v>
      </c>
      <c r="D140" s="3">
        <f>ROUND(D137,0)</f>
        <v>96</v>
      </c>
      <c r="E140" s="1" t="s">
        <v>26</v>
      </c>
      <c r="F140" s="11"/>
    </row>
    <row r="141" spans="2:6" ht="15.75">
      <c r="B141" s="5"/>
      <c r="C141" s="2" t="s">
        <v>158</v>
      </c>
      <c r="D141" s="3">
        <f>ROUND(D138,0)</f>
        <v>252</v>
      </c>
      <c r="E141" s="1" t="s">
        <v>26</v>
      </c>
      <c r="F141" s="11"/>
    </row>
    <row r="142" spans="2:5" ht="15.75">
      <c r="B142" s="5"/>
      <c r="C142" s="2" t="s">
        <v>159</v>
      </c>
      <c r="D142" s="3">
        <f>D140/2</f>
        <v>48</v>
      </c>
      <c r="E142" s="1" t="s">
        <v>26</v>
      </c>
    </row>
    <row r="143" spans="2:5" ht="15.75">
      <c r="B143" s="5"/>
      <c r="C143" s="2" t="s">
        <v>160</v>
      </c>
      <c r="D143" s="3">
        <f>D141/2</f>
        <v>126</v>
      </c>
      <c r="E143" s="1" t="s">
        <v>26</v>
      </c>
    </row>
    <row r="144" spans="2:4" ht="15.75">
      <c r="B144" s="5"/>
      <c r="C144" s="2"/>
      <c r="D144" s="3"/>
    </row>
    <row r="145" spans="2:4" ht="15.75">
      <c r="B145" s="20" t="s">
        <v>97</v>
      </c>
      <c r="C145" s="2"/>
      <c r="D145" s="3"/>
    </row>
    <row r="146" spans="2:5" ht="15.75">
      <c r="B146" s="5"/>
      <c r="C146" s="2" t="s">
        <v>161</v>
      </c>
      <c r="D146" s="3">
        <f>ROUND(PI()*D45,4)</f>
        <v>15.708</v>
      </c>
      <c r="E146" s="1" t="s">
        <v>26</v>
      </c>
    </row>
    <row r="147" spans="2:5" ht="15.75">
      <c r="B147" s="5"/>
      <c r="C147" s="2" t="s">
        <v>162</v>
      </c>
      <c r="D147" s="3">
        <f>ROUND(PI()*D46,4)</f>
        <v>15.8623</v>
      </c>
      <c r="E147" s="1" t="s">
        <v>26</v>
      </c>
    </row>
    <row r="148" spans="2:5" ht="15.75">
      <c r="B148" s="5" t="s">
        <v>98</v>
      </c>
      <c r="C148" s="2" t="s">
        <v>163</v>
      </c>
      <c r="D148" s="3">
        <f>ROUND(D147*COS(D90),4)</f>
        <v>14.8885</v>
      </c>
      <c r="E148" s="1" t="s">
        <v>26</v>
      </c>
    </row>
    <row r="149" spans="2:4" ht="15.75">
      <c r="B149" s="5"/>
      <c r="C149" s="2"/>
      <c r="D149" s="3"/>
    </row>
    <row r="150" spans="2:4" ht="15.75">
      <c r="B150" s="20" t="s">
        <v>99</v>
      </c>
      <c r="C150" s="2"/>
      <c r="D150" s="3"/>
    </row>
    <row r="151" spans="2:5" ht="15.75">
      <c r="B151" s="5"/>
      <c r="C151" s="2" t="s">
        <v>164</v>
      </c>
      <c r="D151" s="3">
        <f>ROUND((D142^2-D118^2)^0.5+(D143^2-D119^2)^0.5-D130*SIN(D90),5)</f>
        <v>23.70522</v>
      </c>
      <c r="E151" s="1" t="s">
        <v>26</v>
      </c>
    </row>
    <row r="152" spans="2:4" ht="15.75">
      <c r="B152" s="5"/>
      <c r="C152" s="2"/>
      <c r="D152" s="3"/>
    </row>
    <row r="153" spans="2:4" ht="15.75">
      <c r="B153" s="20" t="s">
        <v>100</v>
      </c>
      <c r="C153" s="2"/>
      <c r="D153" s="3"/>
    </row>
    <row r="154" spans="2:4" ht="15.75">
      <c r="B154" s="5"/>
      <c r="C154" s="2"/>
      <c r="D154" s="3"/>
    </row>
    <row r="155" spans="2:4" ht="15.75">
      <c r="B155" s="5" t="s">
        <v>61</v>
      </c>
      <c r="C155" s="7" t="s">
        <v>129</v>
      </c>
      <c r="D155" s="3">
        <f>ROUND(D151/D148,2)</f>
        <v>1.59</v>
      </c>
    </row>
    <row r="156" spans="2:4" ht="15.75">
      <c r="B156" s="5" t="s">
        <v>61</v>
      </c>
      <c r="C156" s="7" t="s">
        <v>165</v>
      </c>
      <c r="D156" s="3">
        <f>ROUND(D108*TAN(D86)/D148,3)</f>
        <v>0.415</v>
      </c>
    </row>
    <row r="157" spans="2:4" ht="15.75">
      <c r="B157" s="5" t="s">
        <v>101</v>
      </c>
      <c r="C157" s="7" t="s">
        <v>166</v>
      </c>
      <c r="D157" s="3">
        <f>D155+D156</f>
        <v>2.005</v>
      </c>
    </row>
    <row r="158" spans="2:4" ht="15.75">
      <c r="B158" s="5"/>
      <c r="C158" s="2"/>
      <c r="D158" s="3"/>
    </row>
    <row r="159" spans="2:4" ht="15.75">
      <c r="B159" s="20" t="s">
        <v>102</v>
      </c>
      <c r="C159" s="2"/>
      <c r="D159" s="3"/>
    </row>
    <row r="160" spans="2:4" ht="15.75">
      <c r="B160" s="5" t="s">
        <v>151</v>
      </c>
      <c r="C160" s="7" t="s">
        <v>167</v>
      </c>
      <c r="D160" s="3"/>
    </row>
    <row r="161" spans="2:4" ht="15.75">
      <c r="B161" s="5"/>
      <c r="C161" s="2" t="s">
        <v>168</v>
      </c>
      <c r="D161" s="3">
        <f>D92-D90</f>
        <v>0.015326444172434006</v>
      </c>
    </row>
    <row r="162" spans="2:4" ht="15.75">
      <c r="B162" s="5"/>
      <c r="C162" s="2" t="s">
        <v>169</v>
      </c>
      <c r="D162" s="3">
        <f>D92</f>
        <v>0.36754717813807186</v>
      </c>
    </row>
    <row r="163" spans="2:4" ht="15.75">
      <c r="B163" s="5"/>
      <c r="C163" s="2" t="s">
        <v>170</v>
      </c>
      <c r="D163" s="3">
        <f>ROUND(D96/PI()*(D162-D161)+0.5,2)</f>
        <v>2.41</v>
      </c>
    </row>
    <row r="164" spans="2:4" ht="15.75">
      <c r="B164" s="5"/>
      <c r="C164" s="2" t="s">
        <v>171</v>
      </c>
      <c r="D164" s="3">
        <f>ROUND(D97/PI()*(D162-D161)+0.5,2)</f>
        <v>5.88</v>
      </c>
    </row>
    <row r="165" spans="2:4" ht="15.75">
      <c r="B165" s="21" t="s">
        <v>96</v>
      </c>
      <c r="C165" s="2"/>
      <c r="D165" s="3"/>
    </row>
    <row r="166" spans="2:4" ht="15.75">
      <c r="B166" s="5"/>
      <c r="C166" s="2" t="s">
        <v>170</v>
      </c>
      <c r="D166" s="3">
        <f>ROUND(D163,0)</f>
        <v>2</v>
      </c>
    </row>
    <row r="167" spans="2:4" ht="15.75">
      <c r="B167" s="5"/>
      <c r="C167" s="2" t="s">
        <v>171</v>
      </c>
      <c r="D167" s="3">
        <f>ROUND(D164,0)</f>
        <v>6</v>
      </c>
    </row>
    <row r="168" spans="2:4" ht="15.75">
      <c r="B168" s="5" t="s">
        <v>103</v>
      </c>
      <c r="C168" s="2"/>
      <c r="D168" s="3"/>
    </row>
    <row r="169" spans="2:5" ht="15.75">
      <c r="B169" s="5"/>
      <c r="C169" s="2" t="s">
        <v>172</v>
      </c>
      <c r="D169" s="3">
        <f>ROUND(D75*COS(D85)*(PI()*(D166-0.5)+D96*D161+2*D13*D162),4)</f>
        <v>23.3652</v>
      </c>
      <c r="E169" s="1" t="s">
        <v>26</v>
      </c>
    </row>
    <row r="170" spans="2:5" ht="15.75">
      <c r="B170" s="5"/>
      <c r="C170" s="2" t="s">
        <v>173</v>
      </c>
      <c r="D170" s="3">
        <f>ROUND(D75*COS(D85)*(PI()*(D167-0.5)+D97*D161+2*D14*D162),4)</f>
        <v>84.6401</v>
      </c>
      <c r="E170" s="1" t="s">
        <v>26</v>
      </c>
    </row>
  </sheetData>
  <sheetProtection password="F1A6" sheet="1" objects="1" scenarios="1" selectLockedCells="1" selectUnlockedCells="1"/>
  <mergeCells count="1">
    <mergeCell ref="B2:D2"/>
  </mergeCells>
  <printOptions horizontalCentered="1"/>
  <pageMargins left="0.3937007874015748" right="0.3937007874015748" top="0.7874015748031497" bottom="0.7874015748031497" header="0.5118110236220472" footer="0.5118110236220472"/>
  <pageSetup orientation="portrait" paperSize="9" r:id="rId1"/>
  <headerFooter alignWithMargins="0">
    <oddFooter>&amp;CП.З.П.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E70"/>
  <sheetViews>
    <sheetView tabSelected="1" workbookViewId="0" topLeftCell="A1">
      <selection activeCell="B2" sqref="B2:D2"/>
    </sheetView>
  </sheetViews>
  <sheetFormatPr defaultColWidth="9.140625" defaultRowHeight="12.75"/>
  <cols>
    <col min="1" max="1" width="17.8515625" style="22" customWidth="1"/>
    <col min="2" max="2" width="59.140625" style="22" customWidth="1"/>
    <col min="3" max="4" width="11.00390625" style="22" customWidth="1"/>
    <col min="5" max="16384" width="10.28125" style="22" customWidth="1"/>
  </cols>
  <sheetData>
    <row r="2" ht="15.75">
      <c r="B2" s="36" t="s">
        <v>321</v>
      </c>
    </row>
    <row r="4" spans="2:5" ht="15.75">
      <c r="B4" s="6" t="s">
        <v>1</v>
      </c>
      <c r="C4" s="2"/>
      <c r="D4" s="3"/>
      <c r="E4" s="3"/>
    </row>
    <row r="5" spans="2:5" ht="15.75">
      <c r="B5" s="5" t="s">
        <v>289</v>
      </c>
      <c r="C5" s="44">
        <f>VLOOKUP('[1]POLAZNI PODACI (2)'!D64,'[1]BAZA PODATAKA'!J116:K117,2)</f>
        <v>72</v>
      </c>
      <c r="D5" s="45"/>
      <c r="E5" s="46"/>
    </row>
    <row r="6" spans="2:5" ht="15.75">
      <c r="B6" s="5" t="s">
        <v>290</v>
      </c>
      <c r="C6" s="2" t="s">
        <v>291</v>
      </c>
      <c r="D6" s="3">
        <f>ROUND('[1]PRORACUN VRATILA I (2)'!D22/1000,2)</f>
        <v>2.45</v>
      </c>
      <c r="E6" s="3" t="s">
        <v>292</v>
      </c>
    </row>
    <row r="7" spans="2:5" ht="15.75">
      <c r="B7" s="5" t="s">
        <v>293</v>
      </c>
      <c r="C7" s="2" t="s">
        <v>294</v>
      </c>
      <c r="D7" s="3">
        <f>ROUND('[1]PRORACUN VRATILA I (2)'!D23/1000,2)</f>
        <v>0.94</v>
      </c>
      <c r="E7" s="3" t="s">
        <v>292</v>
      </c>
    </row>
    <row r="8" spans="2:5" ht="15.75">
      <c r="B8" s="5" t="s">
        <v>295</v>
      </c>
      <c r="C8" s="2" t="s">
        <v>104</v>
      </c>
      <c r="D8" s="3">
        <f>'[1]PRORACUN VRATILA I (2)'!D6</f>
        <v>1420</v>
      </c>
      <c r="E8" s="3" t="s">
        <v>296</v>
      </c>
    </row>
    <row r="9" spans="2:5" ht="15.75">
      <c r="B9" s="47" t="s">
        <v>297</v>
      </c>
      <c r="C9" s="2" t="s">
        <v>322</v>
      </c>
      <c r="D9" s="3">
        <f>'[1]PRORACUN VRATILA I (2)'!D64</f>
        <v>40</v>
      </c>
      <c r="E9" s="3" t="s">
        <v>26</v>
      </c>
    </row>
    <row r="10" spans="2:5" ht="15.75">
      <c r="B10" s="5" t="s">
        <v>298</v>
      </c>
      <c r="C10" s="2" t="s">
        <v>299</v>
      </c>
      <c r="D10" s="3">
        <f>IF(AND('[1]POLAZNI PODACI (2)'!E58&gt;=8000,'[1]POLAZNI PODACI (2)'!E58&lt;=45000),'[1]POLAZNI PODACI (2)'!E58,8000)</f>
        <v>10000</v>
      </c>
      <c r="E10" s="3" t="s">
        <v>300</v>
      </c>
    </row>
    <row r="11" spans="2:5" ht="15.75">
      <c r="B11" s="5" t="s">
        <v>301</v>
      </c>
      <c r="C11" s="2" t="s">
        <v>201</v>
      </c>
      <c r="D11" s="3">
        <v>100</v>
      </c>
      <c r="E11" s="3" t="s">
        <v>302</v>
      </c>
    </row>
    <row r="13" spans="2:5" ht="15.75">
      <c r="B13" s="6" t="s">
        <v>181</v>
      </c>
      <c r="C13" s="2"/>
      <c r="D13" s="3"/>
      <c r="E13" s="3"/>
    </row>
    <row r="14" spans="2:5" ht="15.75">
      <c r="B14" s="28"/>
      <c r="C14" s="15"/>
      <c r="D14" s="16"/>
      <c r="E14" s="16"/>
    </row>
    <row r="15" spans="2:5" ht="15.75">
      <c r="B15" s="28" t="s">
        <v>303</v>
      </c>
      <c r="C15" s="15" t="s">
        <v>304</v>
      </c>
      <c r="D15" s="16">
        <f>HLOOKUP('[1]POLAZNI PODACI (2)'!D64,'[1]BAZA PODATAKA'!J108:K113,2)</f>
        <v>24.5</v>
      </c>
      <c r="E15" s="16" t="s">
        <v>292</v>
      </c>
    </row>
    <row r="16" spans="3:5" ht="15.75">
      <c r="C16" s="23" t="s">
        <v>305</v>
      </c>
      <c r="D16" s="24">
        <v>1.14</v>
      </c>
      <c r="E16" s="16"/>
    </row>
    <row r="17" spans="3:4" ht="15.75">
      <c r="C17" s="23" t="s">
        <v>306</v>
      </c>
      <c r="D17" s="24">
        <f>ROUND(D7/D6,2)</f>
        <v>0.38</v>
      </c>
    </row>
    <row r="18" spans="2:4" ht="15.75">
      <c r="B18" s="48" t="s">
        <v>307</v>
      </c>
      <c r="C18" s="22" t="str">
        <f>IF(D17&lt;D16,"Fa/Fr&lt;e","Fa/Fr&gt;e")</f>
        <v>Fa/Fr&lt;e</v>
      </c>
      <c r="D18" s="48" t="s">
        <v>308</v>
      </c>
    </row>
    <row r="19" spans="3:4" ht="15.75">
      <c r="C19" s="23" t="s">
        <v>309</v>
      </c>
      <c r="D19" s="24">
        <f>IF(D17&lt;D16,1,0.35)</f>
        <v>1</v>
      </c>
    </row>
    <row r="20" spans="3:4" ht="15.75">
      <c r="C20" s="23" t="s">
        <v>310</v>
      </c>
      <c r="D20" s="24">
        <f>IF(D17&lt;D16,0,0.57)</f>
        <v>0</v>
      </c>
    </row>
    <row r="21" spans="2:5" ht="15.75">
      <c r="B21" s="28" t="s">
        <v>311</v>
      </c>
      <c r="C21" s="15" t="s">
        <v>312</v>
      </c>
      <c r="D21" s="16">
        <f>D19*D6+D20*D7</f>
        <v>2.45</v>
      </c>
      <c r="E21" s="16" t="s">
        <v>292</v>
      </c>
    </row>
    <row r="23" spans="2:4" ht="15.75">
      <c r="B23" s="28" t="s">
        <v>313</v>
      </c>
      <c r="C23" s="15" t="s">
        <v>323</v>
      </c>
      <c r="D23" s="16">
        <v>1</v>
      </c>
    </row>
    <row r="24" spans="2:5" ht="15.75">
      <c r="B24" s="1"/>
      <c r="C24" s="7" t="s">
        <v>324</v>
      </c>
      <c r="D24" s="3">
        <v>3</v>
      </c>
      <c r="E24" s="1"/>
    </row>
    <row r="25" ht="15.75">
      <c r="E25" s="16"/>
    </row>
    <row r="26" spans="2:5" ht="16.5" thickBot="1">
      <c r="B26" s="28" t="s">
        <v>314</v>
      </c>
      <c r="C26" s="15" t="s">
        <v>315</v>
      </c>
      <c r="D26" s="16">
        <f>ROUND(10^6/(60*D8)*(D23*D15/D21)^D24,0)</f>
        <v>11737</v>
      </c>
      <c r="E26" s="16"/>
    </row>
    <row r="27" spans="2:5" ht="16.5" thickBot="1">
      <c r="B27" s="48" t="s">
        <v>316</v>
      </c>
      <c r="C27" s="49"/>
      <c r="D27" s="50" t="str">
        <f>IF(D26&lt;D10,"NE ZADOVOQAVA","ZADOVOQAVA")</f>
        <v>ZADOVOQAVA</v>
      </c>
      <c r="E27" s="14"/>
    </row>
    <row r="28" spans="2:5" ht="15.75">
      <c r="B28" s="1"/>
      <c r="C28" s="1"/>
      <c r="D28" s="1"/>
      <c r="E28" s="16"/>
    </row>
    <row r="29" spans="2:5" ht="15.75">
      <c r="B29" s="48" t="s">
        <v>317</v>
      </c>
      <c r="C29" s="51" t="str">
        <f>C5&amp;IF(D9=10,"00",IF(D9=12,"01",IF(D9=15,"02",IF(D9=17,"03",IF(D9&lt;50,"0"&amp;D9/5,D9/5)))))</f>
        <v>7208</v>
      </c>
      <c r="D29" s="16"/>
      <c r="E29" s="16"/>
    </row>
    <row r="30" spans="2:5" ht="15.75">
      <c r="B30" s="47" t="s">
        <v>325</v>
      </c>
      <c r="C30" s="2" t="s">
        <v>318</v>
      </c>
      <c r="D30" s="3">
        <f>D9</f>
        <v>40</v>
      </c>
      <c r="E30" s="1" t="s">
        <v>26</v>
      </c>
    </row>
    <row r="31" spans="2:5" ht="15.75">
      <c r="B31" s="1"/>
      <c r="C31" s="2" t="s">
        <v>319</v>
      </c>
      <c r="D31" s="3">
        <f>HLOOKUP('[1]POLAZNI PODACI (2)'!D64,'[1]BAZA PODATAKA'!J108:K113,3)</f>
        <v>80</v>
      </c>
      <c r="E31" s="1" t="s">
        <v>26</v>
      </c>
    </row>
    <row r="32" spans="2:5" ht="15.75">
      <c r="B32" s="1"/>
      <c r="C32" s="2" t="s">
        <v>320</v>
      </c>
      <c r="D32" s="3">
        <f>HLOOKUP('[1]POLAZNI PODACI (2)'!D64,'[1]BAZA PODATAKA'!J108:K113,4)</f>
        <v>18</v>
      </c>
      <c r="E32" s="1" t="s">
        <v>26</v>
      </c>
    </row>
    <row r="33" spans="3:5" ht="15.75">
      <c r="C33" s="2" t="s">
        <v>203</v>
      </c>
      <c r="D33" s="24">
        <f>HLOOKUP('[1]POLAZNI PODACI (2)'!D64,'[1]BAZA PODATAKA'!J108:K113,5)</f>
        <v>2</v>
      </c>
      <c r="E33" s="1" t="s">
        <v>26</v>
      </c>
    </row>
    <row r="34" spans="3:5" ht="15.75">
      <c r="C34" s="2" t="s">
        <v>326</v>
      </c>
      <c r="D34" s="24">
        <f>HLOOKUP('[1]POLAZNI PODACI (2)'!D64,'[1]BAZA PODATAKA'!J108:K113,6)</f>
        <v>1</v>
      </c>
      <c r="E34" s="1" t="s">
        <v>26</v>
      </c>
    </row>
    <row r="38" ht="15.75">
      <c r="B38" s="36" t="s">
        <v>327</v>
      </c>
    </row>
    <row r="40" spans="2:5" ht="15.75">
      <c r="B40" s="6" t="s">
        <v>1</v>
      </c>
      <c r="C40" s="2"/>
      <c r="D40" s="3"/>
      <c r="E40" s="3"/>
    </row>
    <row r="41" spans="2:5" ht="15.75">
      <c r="B41" s="5" t="s">
        <v>289</v>
      </c>
      <c r="C41" s="44">
        <f>VLOOKUP('[1]POLAZNI PODACI (2)'!E64,'[1]BAZA PODATAKA'!J116:K117,2)</f>
        <v>72</v>
      </c>
      <c r="D41" s="45"/>
      <c r="E41" s="46"/>
    </row>
    <row r="42" spans="2:5" ht="15.75">
      <c r="B42" s="5" t="s">
        <v>290</v>
      </c>
      <c r="C42" s="2" t="s">
        <v>291</v>
      </c>
      <c r="D42" s="3">
        <f>ROUND('PRORACUN VRATILA II (2)'!D22/1000,2)</f>
        <v>2.45</v>
      </c>
      <c r="E42" s="3" t="s">
        <v>292</v>
      </c>
    </row>
    <row r="43" spans="2:5" ht="15.75">
      <c r="B43" s="5" t="s">
        <v>293</v>
      </c>
      <c r="C43" s="2" t="s">
        <v>294</v>
      </c>
      <c r="D43" s="3">
        <f>ROUND('PRORACUN VRATILA II (2)'!D23/1000,2)</f>
        <v>0.94</v>
      </c>
      <c r="E43" s="3" t="s">
        <v>292</v>
      </c>
    </row>
    <row r="44" spans="2:5" ht="15.75">
      <c r="B44" s="5" t="s">
        <v>295</v>
      </c>
      <c r="C44" s="2" t="s">
        <v>104</v>
      </c>
      <c r="D44" s="3">
        <f>'PRORACUN VRATILA II (2)'!D6</f>
        <v>503</v>
      </c>
      <c r="E44" s="3" t="s">
        <v>296</v>
      </c>
    </row>
    <row r="45" spans="2:5" ht="15.75">
      <c r="B45" s="47" t="s">
        <v>297</v>
      </c>
      <c r="C45" s="2" t="s">
        <v>277</v>
      </c>
      <c r="D45" s="3">
        <f>'PRORACUN VRATILA II (2)'!D64</f>
        <v>55</v>
      </c>
      <c r="E45" s="3" t="s">
        <v>26</v>
      </c>
    </row>
    <row r="46" spans="2:5" ht="15.75">
      <c r="B46" s="5" t="s">
        <v>298</v>
      </c>
      <c r="C46" s="2" t="s">
        <v>299</v>
      </c>
      <c r="D46" s="3">
        <f>D10</f>
        <v>10000</v>
      </c>
      <c r="E46" s="3" t="s">
        <v>300</v>
      </c>
    </row>
    <row r="47" spans="2:5" ht="15.75">
      <c r="B47" s="5" t="s">
        <v>301</v>
      </c>
      <c r="C47" s="2" t="s">
        <v>201</v>
      </c>
      <c r="D47" s="3">
        <f>D11</f>
        <v>100</v>
      </c>
      <c r="E47" s="3" t="s">
        <v>302</v>
      </c>
    </row>
    <row r="49" spans="2:5" ht="15.75">
      <c r="B49" s="6" t="s">
        <v>181</v>
      </c>
      <c r="C49" s="2"/>
      <c r="D49" s="3"/>
      <c r="E49" s="3"/>
    </row>
    <row r="50" spans="2:5" ht="15.75">
      <c r="B50" s="28"/>
      <c r="C50" s="15"/>
      <c r="D50" s="16"/>
      <c r="E50" s="16"/>
    </row>
    <row r="51" spans="2:5" ht="15.75">
      <c r="B51" s="28" t="s">
        <v>303</v>
      </c>
      <c r="C51" s="15" t="s">
        <v>304</v>
      </c>
      <c r="D51" s="16">
        <f>HLOOKUP('[1]POLAZNI PODACI (2)'!E64,'[1]BAZA PODATAKA'!J121:K126,2)</f>
        <v>35.8</v>
      </c>
      <c r="E51" s="16" t="s">
        <v>292</v>
      </c>
    </row>
    <row r="52" spans="3:5" ht="15.75">
      <c r="C52" s="23" t="s">
        <v>305</v>
      </c>
      <c r="D52" s="24">
        <v>1.14</v>
      </c>
      <c r="E52" s="16"/>
    </row>
    <row r="53" spans="3:4" ht="15.75">
      <c r="C53" s="23" t="s">
        <v>306</v>
      </c>
      <c r="D53" s="24">
        <f>ROUND(D43/D42,2)</f>
        <v>0.38</v>
      </c>
    </row>
    <row r="54" spans="2:4" ht="15.75">
      <c r="B54" s="48" t="s">
        <v>307</v>
      </c>
      <c r="C54" s="22" t="str">
        <f>IF(D53&lt;D52,"Fa/Fr&lt;e","Fa/Fr&gt;e")</f>
        <v>Fa/Fr&lt;e</v>
      </c>
      <c r="D54" s="48" t="s">
        <v>308</v>
      </c>
    </row>
    <row r="55" spans="3:4" ht="15.75">
      <c r="C55" s="23" t="s">
        <v>309</v>
      </c>
      <c r="D55" s="24">
        <f>IF(D53&lt;D52,1,0.35)</f>
        <v>1</v>
      </c>
    </row>
    <row r="56" spans="3:4" ht="15.75">
      <c r="C56" s="23" t="s">
        <v>310</v>
      </c>
      <c r="D56" s="24">
        <f>IF(D53&lt;D52,0,0.57)</f>
        <v>0</v>
      </c>
    </row>
    <row r="57" spans="2:5" ht="15.75">
      <c r="B57" s="28" t="s">
        <v>311</v>
      </c>
      <c r="C57" s="15" t="s">
        <v>312</v>
      </c>
      <c r="D57" s="16">
        <f>D55*D42+D56*D43</f>
        <v>2.45</v>
      </c>
      <c r="E57" s="16" t="s">
        <v>292</v>
      </c>
    </row>
    <row r="59" spans="2:4" ht="15.75">
      <c r="B59" s="28" t="s">
        <v>313</v>
      </c>
      <c r="C59" s="15" t="s">
        <v>323</v>
      </c>
      <c r="D59" s="16">
        <v>1</v>
      </c>
    </row>
    <row r="60" spans="2:5" ht="15.75">
      <c r="B60" s="1"/>
      <c r="C60" s="7" t="s">
        <v>324</v>
      </c>
      <c r="D60" s="3">
        <v>3</v>
      </c>
      <c r="E60" s="1"/>
    </row>
    <row r="61" ht="15.75">
      <c r="E61" s="16"/>
    </row>
    <row r="62" spans="2:5" ht="16.5" thickBot="1">
      <c r="B62" s="28" t="s">
        <v>314</v>
      </c>
      <c r="C62" s="15" t="s">
        <v>315</v>
      </c>
      <c r="D62" s="16">
        <f>ROUND(10^6/(60*D44)*(D59*D51/D57)^D60,0)</f>
        <v>103379</v>
      </c>
      <c r="E62" s="16"/>
    </row>
    <row r="63" spans="2:5" ht="16.5" thickBot="1">
      <c r="B63" s="48" t="s">
        <v>316</v>
      </c>
      <c r="C63" s="49"/>
      <c r="D63" s="50" t="str">
        <f>IF(D62&lt;D46,"NE ZADOVOQAVA","ZADOVOQAVA")</f>
        <v>ZADOVOQAVA</v>
      </c>
      <c r="E63" s="14"/>
    </row>
    <row r="64" spans="2:5" ht="15.75">
      <c r="B64" s="1"/>
      <c r="C64" s="1"/>
      <c r="D64" s="1"/>
      <c r="E64" s="16"/>
    </row>
    <row r="65" spans="2:5" ht="15.75">
      <c r="B65" s="48" t="s">
        <v>317</v>
      </c>
      <c r="C65" s="51" t="str">
        <f>C41&amp;IF(D45=10,"00",IF(D45=12,"01",IF(D45=15,"02",IF(D45=17,"03",IF(D45&lt;50,"0"&amp;D45/5,D45/5)))))</f>
        <v>7211</v>
      </c>
      <c r="D65" s="16"/>
      <c r="E65" s="16"/>
    </row>
    <row r="66" spans="2:5" ht="15.75">
      <c r="B66" s="47" t="s">
        <v>325</v>
      </c>
      <c r="C66" s="2" t="s">
        <v>318</v>
      </c>
      <c r="D66" s="3">
        <f>D45</f>
        <v>55</v>
      </c>
      <c r="E66" s="1" t="s">
        <v>26</v>
      </c>
    </row>
    <row r="67" spans="2:5" ht="15.75">
      <c r="B67" s="1"/>
      <c r="C67" s="2" t="s">
        <v>319</v>
      </c>
      <c r="D67" s="3">
        <f>HLOOKUP('[1]POLAZNI PODACI (2)'!E64,'[1]BAZA PODATAKA'!J121:K126,3)</f>
        <v>100</v>
      </c>
      <c r="E67" s="1" t="s">
        <v>26</v>
      </c>
    </row>
    <row r="68" spans="2:5" ht="15.75">
      <c r="B68" s="1"/>
      <c r="C68" s="2" t="s">
        <v>320</v>
      </c>
      <c r="D68" s="3">
        <f>HLOOKUP('[1]POLAZNI PODACI (2)'!E64,'[1]BAZA PODATAKA'!J121:K126,4)</f>
        <v>21</v>
      </c>
      <c r="E68" s="1" t="s">
        <v>26</v>
      </c>
    </row>
    <row r="69" spans="3:5" ht="15.75">
      <c r="C69" s="2" t="s">
        <v>203</v>
      </c>
      <c r="D69" s="24">
        <f>HLOOKUP('[1]POLAZNI PODACI (2)'!E64,'[1]BAZA PODATAKA'!J121:K126,5)</f>
        <v>2.5</v>
      </c>
      <c r="E69" s="1" t="s">
        <v>26</v>
      </c>
    </row>
    <row r="70" spans="3:5" ht="15.75">
      <c r="C70" s="2" t="s">
        <v>326</v>
      </c>
      <c r="D70" s="24">
        <f>HLOOKUP('[1]POLAZNI PODACI (2)'!E64,'[1]BAZA PODATAKA'!J121:K126,6)</f>
        <v>1.2</v>
      </c>
      <c r="E70" s="1" t="s">
        <v>26</v>
      </c>
    </row>
  </sheetData>
  <sheetProtection password="F1A6" sheet="1" objects="1" scenarios="1" selectLockedCells="1" selectUnlockedCells="1"/>
  <printOptions horizontalCentered="1"/>
  <pageMargins left="0.3937007874015748" right="0.3937007874015748" top="0.7874015748031497" bottom="0.7874015748031497" header="0.5118110236220472" footer="0.5118110236220472"/>
  <pageSetup orientation="portrait" paperSize="9" r:id="rId1"/>
  <headerFooter alignWithMargins="0">
    <oddFooter>&amp;CП.Л.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2008-04-03T18:38:15Z</dcterms:created>
  <dcterms:modified xsi:type="dcterms:W3CDTF">2008-04-03T18:45:55Z</dcterms:modified>
  <cp:category/>
  <cp:version/>
  <cp:contentType/>
  <cp:contentStatus/>
</cp:coreProperties>
</file>