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KTY81-110" sheetId="1" r:id="rId1"/>
    <sheet name="KTY81-220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<sst xmlns="http://schemas.openxmlformats.org/spreadsheetml/2006/main" count="44" uniqueCount="22">
  <si>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>KTY81-110</t>
  </si>
  <si>
    <t>AVCC( mV )</t>
  </si>
  <si>
    <t>R1(Ohm)</t>
  </si>
  <si>
    <t>C</t>
  </si>
  <si>
    <t>Vref=C*AVCC</t>
  </si>
  <si>
    <t>NULLT=</t>
  </si>
  <si>
    <t>ADCtemp=</t>
  </si>
  <si>
    <t>ADCW-NULLT</t>
  </si>
  <si>
    <t>Temperatur</t>
  </si>
  <si>
    <t>Rt</t>
  </si>
  <si>
    <t>I</t>
  </si>
  <si>
    <t>Uadc</t>
  </si>
  <si>
    <t>ADCtemp</t>
  </si>
  <si>
    <t>(°C)</t>
  </si>
  <si>
    <t>(Ohm)</t>
  </si>
  <si>
    <t>(mA)</t>
  </si>
  <si>
    <t>( V )</t>
  </si>
  <si>
    <t>ADCW</t>
  </si>
  <si>
    <t>(x0,5°C)</t>
  </si>
  <si>
    <t>Messdifferenz.</t>
  </si>
  <si>
    <t>Rezolucija 0,5°C (Varijanta sa podesivim Aref)</t>
  </si>
  <si>
    <t>KTY81-220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</si>
</sst>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sz val="15.75"/>
      <name val="Arial"/>
      <family val="0"/>
    </font>
    <font>
      <sz val="14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KTY81-110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025"/>
          <c:w val="0.92825"/>
          <c:h val="0.77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'KTY81-110'!$A$8:$A$23</c:f>
              <c:numCache/>
            </c:numRef>
          </c:xVal>
          <c:yVal>
            <c:numRef>
              <c:f>'KTY81-110'!$G$8:$G$23</c:f>
              <c:numCache/>
            </c:numRef>
          </c:yVal>
          <c:smooth val="1"/>
        </c:ser>
        <c:axId val="28446603"/>
        <c:axId val="54692836"/>
      </c:scatterChart>
      <c:valAx>
        <c:axId val="28446603"/>
        <c:scaling>
          <c:orientation val="minMax"/>
          <c:max val="1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Merena temperatura(°C)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92836"/>
        <c:crosses val="autoZero"/>
        <c:crossBetween val="midCat"/>
        <c:dispUnits/>
        <c:majorUnit val="10"/>
      </c:valAx>
      <c:valAx>
        <c:axId val="5469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Merno odstupanje(°C)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446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KTY81-220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025"/>
          <c:w val="0.92825"/>
          <c:h val="0.77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'KTY81-220'!$A$8:$A$23</c:f>
              <c:numCache/>
            </c:numRef>
          </c:xVal>
          <c:yVal>
            <c:numRef>
              <c:f>'KTY81-220'!$G$8:$G$23</c:f>
              <c:numCache/>
            </c:numRef>
          </c:yVal>
          <c:smooth val="1"/>
        </c:ser>
        <c:axId val="22473477"/>
        <c:axId val="934702"/>
      </c:scatterChart>
      <c:valAx>
        <c:axId val="22473477"/>
        <c:scaling>
          <c:orientation val="minMax"/>
          <c:max val="1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Merena temperatura(°C)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34702"/>
        <c:crosses val="autoZero"/>
        <c:crossBetween val="midCat"/>
        <c:dispUnits/>
        <c:majorUnit val="10"/>
      </c:valAx>
      <c:valAx>
        <c:axId val="93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Merno odstupanje(°C)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73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47625</xdr:rowOff>
    </xdr:from>
    <xdr:to>
      <xdr:col>9</xdr:col>
      <xdr:colOff>733425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52400" y="3933825"/>
        <a:ext cx="76390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47625</xdr:rowOff>
    </xdr:from>
    <xdr:to>
      <xdr:col>9</xdr:col>
      <xdr:colOff>733425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52400" y="3933825"/>
        <a:ext cx="76390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9">
      <selection activeCell="A21" sqref="A21"/>
    </sheetView>
  </sheetViews>
  <sheetFormatPr defaultColWidth="11.421875" defaultRowHeight="12.75"/>
  <cols>
    <col min="7" max="7" width="14.421875" style="0" customWidth="1"/>
  </cols>
  <sheetData>
    <row r="1" ht="12.75">
      <c r="A1" t="s">
        <v>20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/>
      <c r="B3" s="3">
        <v>5000</v>
      </c>
      <c r="C3" s="3">
        <v>3000</v>
      </c>
      <c r="D3" s="3">
        <v>0.757</v>
      </c>
      <c r="E3" s="4">
        <f>(B3*D3)/1000</f>
        <v>3.785</v>
      </c>
      <c r="F3" s="4">
        <f>INT((D11/E3)*1024)</f>
        <v>288</v>
      </c>
      <c r="G3" s="5" t="s">
        <v>7</v>
      </c>
    </row>
    <row r="4" spans="1:7" ht="12.75">
      <c r="A4" s="6" t="s">
        <v>8</v>
      </c>
      <c r="B4" s="6" t="s">
        <v>9</v>
      </c>
      <c r="C4" s="6" t="s">
        <v>10</v>
      </c>
      <c r="D4" s="6" t="s">
        <v>11</v>
      </c>
      <c r="E4" s="6"/>
      <c r="F4" s="6" t="s">
        <v>12</v>
      </c>
      <c r="G4" s="6" t="s">
        <v>19</v>
      </c>
    </row>
    <row r="5" spans="1: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13</v>
      </c>
    </row>
    <row r="6" spans="1:7" ht="12.75">
      <c r="A6">
        <v>-50</v>
      </c>
      <c r="B6">
        <f>1030/2</f>
        <v>515</v>
      </c>
      <c r="C6">
        <f>B3/(C3+B6)</f>
        <v>1.422475106685633</v>
      </c>
      <c r="D6">
        <f aca="true" t="shared" si="0" ref="D6:D24">(B6*C6)/1000</f>
        <v>0.7325746799431009</v>
      </c>
      <c r="E6">
        <f>INT((D6/E3)*1024)</f>
        <v>198</v>
      </c>
      <c r="F6">
        <f>E6-F3</f>
        <v>-90</v>
      </c>
      <c r="G6">
        <f aca="true" t="shared" si="1" ref="G6:G24">(F6-A6*2)*0.5</f>
        <v>5</v>
      </c>
    </row>
    <row r="7" spans="1:7" ht="12.75">
      <c r="A7">
        <v>-40</v>
      </c>
      <c r="B7">
        <f>1135/2</f>
        <v>567.5</v>
      </c>
      <c r="C7">
        <f>B3/(C3+B7)</f>
        <v>1.401541695865452</v>
      </c>
      <c r="D7">
        <f t="shared" si="0"/>
        <v>0.7953749124036441</v>
      </c>
      <c r="E7">
        <f>INT((D7/E3)*1024)</f>
        <v>215</v>
      </c>
      <c r="F7">
        <f>E7-F3</f>
        <v>-73</v>
      </c>
      <c r="G7">
        <f t="shared" si="1"/>
        <v>3.5</v>
      </c>
    </row>
    <row r="8" spans="1:7" ht="12.75">
      <c r="A8">
        <v>-30</v>
      </c>
      <c r="B8">
        <f>1247/2</f>
        <v>623.5</v>
      </c>
      <c r="C8">
        <f>B3/(C3+B8)</f>
        <v>1.3798813302056023</v>
      </c>
      <c r="D8">
        <f t="shared" si="0"/>
        <v>0.860356009383193</v>
      </c>
      <c r="E8">
        <f>INT((D8/E3)*1024)</f>
        <v>232</v>
      </c>
      <c r="F8">
        <f>E8-F3</f>
        <v>-56</v>
      </c>
      <c r="G8">
        <f t="shared" si="1"/>
        <v>2</v>
      </c>
    </row>
    <row r="9" spans="1:7" ht="12.75">
      <c r="A9">
        <v>-20</v>
      </c>
      <c r="B9">
        <f>1367/2</f>
        <v>683.5</v>
      </c>
      <c r="C9">
        <f>B3/(C3+B9)</f>
        <v>1.3574046423238768</v>
      </c>
      <c r="D9">
        <f t="shared" si="0"/>
        <v>0.9277860730283698</v>
      </c>
      <c r="E9">
        <f>INT((D9/E3)*1024)</f>
        <v>251</v>
      </c>
      <c r="F9">
        <f>E9-F3</f>
        <v>-37</v>
      </c>
      <c r="G9">
        <f t="shared" si="1"/>
        <v>1.5</v>
      </c>
    </row>
    <row r="10" spans="1:7" ht="12.75">
      <c r="A10">
        <v>-10</v>
      </c>
      <c r="B10">
        <f>1495/2</f>
        <v>747.5</v>
      </c>
      <c r="C10">
        <f>B3/(C3+B10)</f>
        <v>1.33422281521014</v>
      </c>
      <c r="D10">
        <f t="shared" si="0"/>
        <v>0.9973315543695798</v>
      </c>
      <c r="E10">
        <f>INT((D10/E3)*1024)</f>
        <v>269</v>
      </c>
      <c r="F10">
        <f>E10-F3</f>
        <v>-19</v>
      </c>
      <c r="G10">
        <f t="shared" si="1"/>
        <v>0.5</v>
      </c>
    </row>
    <row r="11" spans="1:7" ht="12.75">
      <c r="A11" s="8">
        <v>0</v>
      </c>
      <c r="B11" s="8">
        <f>1630/2</f>
        <v>815</v>
      </c>
      <c r="C11" s="8">
        <f>B3/(C3+B11)</f>
        <v>1.3106159895150722</v>
      </c>
      <c r="D11" s="8">
        <f t="shared" si="0"/>
        <v>1.0681520314547839</v>
      </c>
      <c r="E11" s="9">
        <f>INT((D11/E3)*1024)</f>
        <v>288</v>
      </c>
      <c r="F11" s="8">
        <f>E11-F3</f>
        <v>0</v>
      </c>
      <c r="G11" s="8">
        <f t="shared" si="1"/>
        <v>0</v>
      </c>
    </row>
    <row r="12" spans="1:7" ht="12.75">
      <c r="A12">
        <v>10</v>
      </c>
      <c r="B12">
        <f>1772/2</f>
        <v>886</v>
      </c>
      <c r="C12">
        <f>B3/(C3+B12)</f>
        <v>1.2866700977869274</v>
      </c>
      <c r="D12">
        <f t="shared" si="0"/>
        <v>1.1399897066392177</v>
      </c>
      <c r="E12">
        <f>INT((D12/E3)*1024)</f>
        <v>308</v>
      </c>
      <c r="F12">
        <f>E12-F3</f>
        <v>20</v>
      </c>
      <c r="G12">
        <f t="shared" si="1"/>
        <v>0</v>
      </c>
    </row>
    <row r="13" spans="1:7" ht="12.75">
      <c r="A13">
        <v>20</v>
      </c>
      <c r="B13">
        <f>1922/2</f>
        <v>961</v>
      </c>
      <c r="C13">
        <f>B3/(C3+B13)</f>
        <v>1.2623074981065388</v>
      </c>
      <c r="D13">
        <f t="shared" si="0"/>
        <v>1.2130775056803835</v>
      </c>
      <c r="E13">
        <f>INT((D13/E3)*1024)</f>
        <v>328</v>
      </c>
      <c r="F13">
        <f>E13-F3</f>
        <v>40</v>
      </c>
      <c r="G13">
        <f t="shared" si="1"/>
        <v>0</v>
      </c>
    </row>
    <row r="14" spans="1:7" ht="12.75">
      <c r="A14">
        <v>30</v>
      </c>
      <c r="B14">
        <f>2080/2</f>
        <v>1040</v>
      </c>
      <c r="C14">
        <f>B3/(C3+B14)</f>
        <v>1.2376237623762376</v>
      </c>
      <c r="D14">
        <f t="shared" si="0"/>
        <v>1.287128712871287</v>
      </c>
      <c r="E14">
        <f>INT((D14/E3)*1024)</f>
        <v>348</v>
      </c>
      <c r="F14">
        <f>E14-F3</f>
        <v>60</v>
      </c>
      <c r="G14">
        <f t="shared" si="1"/>
        <v>0</v>
      </c>
    </row>
    <row r="15" spans="1:7" ht="12.75">
      <c r="A15">
        <v>40</v>
      </c>
      <c r="B15">
        <f>2245/2</f>
        <v>1122.5</v>
      </c>
      <c r="C15">
        <f>B3/(C3+B15)</f>
        <v>1.212856276531231</v>
      </c>
      <c r="D15">
        <f t="shared" si="0"/>
        <v>1.361431170406307</v>
      </c>
      <c r="E15">
        <f>INT((D15/E3)*1024)</f>
        <v>368</v>
      </c>
      <c r="F15">
        <f>E15-F3</f>
        <v>80</v>
      </c>
      <c r="G15">
        <f t="shared" si="1"/>
        <v>0</v>
      </c>
    </row>
    <row r="16" spans="1:7" ht="12.75">
      <c r="A16">
        <v>50</v>
      </c>
      <c r="B16">
        <f>2417/2</f>
        <v>1208.5</v>
      </c>
      <c r="C16">
        <f>B3/(C3+B16)</f>
        <v>1.1880717595342758</v>
      </c>
      <c r="D16">
        <f t="shared" si="0"/>
        <v>1.4357847213971722</v>
      </c>
      <c r="E16">
        <f>INT((D16/E3)*1024)</f>
        <v>388</v>
      </c>
      <c r="F16">
        <f>E16-F3</f>
        <v>100</v>
      </c>
      <c r="G16">
        <f t="shared" si="1"/>
        <v>0</v>
      </c>
    </row>
    <row r="17" spans="1:7" ht="12.75">
      <c r="A17">
        <v>60</v>
      </c>
      <c r="B17">
        <f>2597/2</f>
        <v>1298.5</v>
      </c>
      <c r="C17">
        <f>B3/(C3+B17)</f>
        <v>1.1631964638827499</v>
      </c>
      <c r="D17">
        <f t="shared" si="0"/>
        <v>1.5104106083517506</v>
      </c>
      <c r="E17">
        <f>INT((D17/E3)*1024)</f>
        <v>408</v>
      </c>
      <c r="F17">
        <f>E17-F3</f>
        <v>120</v>
      </c>
      <c r="G17">
        <f t="shared" si="1"/>
        <v>0</v>
      </c>
    </row>
    <row r="18" spans="1:7" ht="12.75">
      <c r="A18">
        <v>70</v>
      </c>
      <c r="B18">
        <f>2785/2</f>
        <v>1392.5</v>
      </c>
      <c r="C18">
        <f>B3/(C3+B18)</f>
        <v>1.1383039271485487</v>
      </c>
      <c r="D18">
        <f t="shared" si="0"/>
        <v>1.585088218554354</v>
      </c>
      <c r="E18">
        <f>INT((D18/E3)*1024)</f>
        <v>428</v>
      </c>
      <c r="F18">
        <f>E18-F3</f>
        <v>140</v>
      </c>
      <c r="G18">
        <f t="shared" si="1"/>
        <v>0</v>
      </c>
    </row>
    <row r="19" spans="1:7" ht="12.75">
      <c r="A19">
        <v>80</v>
      </c>
      <c r="B19">
        <f>2980/2</f>
        <v>1490</v>
      </c>
      <c r="C19">
        <f>B3/(C3+B19)</f>
        <v>1.1135857461024499</v>
      </c>
      <c r="D19">
        <f t="shared" si="0"/>
        <v>1.6592427616926502</v>
      </c>
      <c r="E19">
        <f>INT((D19/E3)*1024)</f>
        <v>448</v>
      </c>
      <c r="F19">
        <f>E19-F3</f>
        <v>160</v>
      </c>
      <c r="G19">
        <f t="shared" si="1"/>
        <v>0</v>
      </c>
    </row>
    <row r="20" spans="1:7" ht="12.75">
      <c r="A20">
        <v>90</v>
      </c>
      <c r="B20">
        <f>3182/2</f>
        <v>1591</v>
      </c>
      <c r="C20">
        <f>B3/(C3+B20)</f>
        <v>1.0890873448050533</v>
      </c>
      <c r="D20">
        <f t="shared" si="0"/>
        <v>1.7327379655848398</v>
      </c>
      <c r="E20">
        <f>INT((D20/E3)*1024)</f>
        <v>468</v>
      </c>
      <c r="F20">
        <f>E20-F3</f>
        <v>180</v>
      </c>
      <c r="G20">
        <f t="shared" si="1"/>
        <v>0</v>
      </c>
    </row>
    <row r="21" spans="1:7" ht="12.75">
      <c r="A21">
        <v>100</v>
      </c>
      <c r="B21">
        <f>3392/2</f>
        <v>1696</v>
      </c>
      <c r="C21">
        <f>B3/(C3+B21)</f>
        <v>1.0647359454855196</v>
      </c>
      <c r="D21">
        <f t="shared" si="0"/>
        <v>1.8057921635434413</v>
      </c>
      <c r="E21">
        <f>INT((D21/E3)*1024)</f>
        <v>488</v>
      </c>
      <c r="F21">
        <f>E21-F3</f>
        <v>200</v>
      </c>
      <c r="G21">
        <f t="shared" si="1"/>
        <v>0</v>
      </c>
    </row>
    <row r="22" spans="1:7" ht="12.75">
      <c r="A22">
        <v>110</v>
      </c>
      <c r="B22">
        <f>3607/2</f>
        <v>1803.5</v>
      </c>
      <c r="C22">
        <f>B3/(C3+B22)</f>
        <v>1.0409076714895389</v>
      </c>
      <c r="D22">
        <f t="shared" si="0"/>
        <v>1.8772769855313833</v>
      </c>
      <c r="E22">
        <f>INT((D22/E3)*1024)</f>
        <v>507</v>
      </c>
      <c r="F22">
        <f>E22-F3</f>
        <v>219</v>
      </c>
      <c r="G22">
        <f t="shared" si="1"/>
        <v>-0.5</v>
      </c>
    </row>
    <row r="23" spans="1:7" ht="12.75">
      <c r="A23">
        <v>120</v>
      </c>
      <c r="B23">
        <f>3817/2</f>
        <v>1908.5</v>
      </c>
      <c r="C23">
        <f>B3/(C3+B23)</f>
        <v>1.0186411327289395</v>
      </c>
      <c r="D23">
        <f t="shared" si="0"/>
        <v>1.944076601813181</v>
      </c>
      <c r="E23">
        <f>INT((D23/E3)*1024)</f>
        <v>525</v>
      </c>
      <c r="F23">
        <f>E23-F3</f>
        <v>237</v>
      </c>
      <c r="G23">
        <f t="shared" si="1"/>
        <v>-1.5</v>
      </c>
    </row>
    <row r="24" spans="1:7" ht="12.75">
      <c r="A24">
        <v>130</v>
      </c>
      <c r="B24">
        <f>4008/2</f>
        <v>2004</v>
      </c>
      <c r="C24">
        <f>B3/(C3+B24)</f>
        <v>0.9992006394884093</v>
      </c>
      <c r="D24">
        <f t="shared" si="0"/>
        <v>2.002398081534772</v>
      </c>
      <c r="E24">
        <f>INT((D24/E3)*1024)</f>
        <v>541</v>
      </c>
      <c r="F24">
        <f>E24-F3</f>
        <v>253</v>
      </c>
      <c r="G24">
        <f t="shared" si="1"/>
        <v>-3.5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521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25">
      <selection activeCell="A20" sqref="A20"/>
    </sheetView>
  </sheetViews>
  <sheetFormatPr defaultColWidth="11.421875" defaultRowHeight="12.75"/>
  <cols>
    <col min="7" max="7" width="14.421875" style="0" customWidth="1"/>
  </cols>
  <sheetData>
    <row r="1" ht="12.75">
      <c r="A1" t="s">
        <v>20</v>
      </c>
    </row>
    <row r="2" spans="1:7" ht="12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/>
      <c r="B3" s="3">
        <v>5000</v>
      </c>
      <c r="C3" s="3">
        <v>5600</v>
      </c>
      <c r="D3" s="3">
        <v>0.781</v>
      </c>
      <c r="E3" s="4">
        <f>(B3*D3)/1000</f>
        <v>3.905</v>
      </c>
      <c r="F3" s="4">
        <f>INT((D11/E3)*1024)</f>
        <v>295</v>
      </c>
      <c r="G3" s="5" t="s">
        <v>7</v>
      </c>
    </row>
    <row r="4" spans="1:7" ht="12.75">
      <c r="A4" s="6" t="s">
        <v>8</v>
      </c>
      <c r="B4" s="6" t="s">
        <v>9</v>
      </c>
      <c r="C4" s="6" t="s">
        <v>10</v>
      </c>
      <c r="D4" s="6" t="s">
        <v>11</v>
      </c>
      <c r="E4" s="6"/>
      <c r="F4" s="6" t="s">
        <v>12</v>
      </c>
      <c r="G4" s="6" t="s">
        <v>19</v>
      </c>
    </row>
    <row r="5" spans="1: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13</v>
      </c>
    </row>
    <row r="6" spans="1:7" ht="12.75">
      <c r="A6">
        <v>-50</v>
      </c>
      <c r="B6">
        <f>1030</f>
        <v>1030</v>
      </c>
      <c r="C6">
        <f>B3/(C3+B6)</f>
        <v>0.7541478129713424</v>
      </c>
      <c r="D6">
        <f>(B6*C6)/1000</f>
        <v>0.7767722473604827</v>
      </c>
      <c r="E6">
        <f>INT((D6/E3)*1024)</f>
        <v>203</v>
      </c>
      <c r="F6">
        <f>E6-F3</f>
        <v>-92</v>
      </c>
      <c r="G6">
        <f>(F6-A6*2)*0.5</f>
        <v>4</v>
      </c>
    </row>
    <row r="7" spans="1:7" ht="12.75">
      <c r="A7">
        <v>-40</v>
      </c>
      <c r="B7">
        <f>1135</f>
        <v>1135</v>
      </c>
      <c r="C7">
        <f>B3/(C3+B7)</f>
        <v>0.7423904974016332</v>
      </c>
      <c r="D7">
        <f>(B7*C7)/1000</f>
        <v>0.8426132145508537</v>
      </c>
      <c r="E7">
        <f>INT((D7/E3)*1024)</f>
        <v>220</v>
      </c>
      <c r="F7">
        <f>E7-F3</f>
        <v>-75</v>
      </c>
      <c r="G7">
        <f aca="true" t="shared" si="0" ref="G7:G24">(F7-A7*2)*0.5</f>
        <v>2.5</v>
      </c>
    </row>
    <row r="8" spans="1:7" ht="12.75">
      <c r="A8">
        <v>-30</v>
      </c>
      <c r="B8">
        <f>1247</f>
        <v>1247</v>
      </c>
      <c r="C8">
        <f>B3/(C3+B8)</f>
        <v>0.7302468234263181</v>
      </c>
      <c r="D8">
        <f aca="true" t="shared" si="1" ref="D8:D24">(B8*C8)/1000</f>
        <v>0.9106177888126187</v>
      </c>
      <c r="E8">
        <f>INT((D8/E3)*1024)</f>
        <v>238</v>
      </c>
      <c r="F8">
        <f>E8-F3</f>
        <v>-57</v>
      </c>
      <c r="G8">
        <f t="shared" si="0"/>
        <v>1.5</v>
      </c>
    </row>
    <row r="9" spans="1:7" ht="12.75">
      <c r="A9">
        <v>-20</v>
      </c>
      <c r="B9">
        <f>1367</f>
        <v>1367</v>
      </c>
      <c r="C9">
        <f>B3/(C3+B9)</f>
        <v>0.7176690110521028</v>
      </c>
      <c r="D9">
        <f t="shared" si="1"/>
        <v>0.9810535381082245</v>
      </c>
      <c r="E9">
        <f>INT((D9/E3)*1024)</f>
        <v>257</v>
      </c>
      <c r="F9">
        <f>E9-F3</f>
        <v>-38</v>
      </c>
      <c r="G9">
        <f t="shared" si="0"/>
        <v>1</v>
      </c>
    </row>
    <row r="10" spans="1:7" ht="12.75">
      <c r="A10">
        <v>-10</v>
      </c>
      <c r="B10">
        <f>1495</f>
        <v>1495</v>
      </c>
      <c r="C10">
        <f>B3/(C3+B10)</f>
        <v>0.704721634954193</v>
      </c>
      <c r="D10">
        <f t="shared" si="1"/>
        <v>1.0535588442565185</v>
      </c>
      <c r="E10">
        <f>INT((D10/E3)*1024)</f>
        <v>276</v>
      </c>
      <c r="F10">
        <f>E10-F3</f>
        <v>-19</v>
      </c>
      <c r="G10">
        <f t="shared" si="0"/>
        <v>0.5</v>
      </c>
    </row>
    <row r="11" spans="1:7" ht="12.75">
      <c r="A11" s="8">
        <v>0</v>
      </c>
      <c r="B11" s="8">
        <f>1630</f>
        <v>1630</v>
      </c>
      <c r="C11" s="8">
        <f>B3/(C3+B11)</f>
        <v>0.6915629322268326</v>
      </c>
      <c r="D11" s="8">
        <f t="shared" si="1"/>
        <v>1.1272475795297372</v>
      </c>
      <c r="E11" s="9">
        <f>INT((D11/E3)*1024)</f>
        <v>295</v>
      </c>
      <c r="F11" s="8">
        <f>E11-F3</f>
        <v>0</v>
      </c>
      <c r="G11" s="8">
        <f t="shared" si="0"/>
        <v>0</v>
      </c>
    </row>
    <row r="12" spans="1:7" ht="12.75">
      <c r="A12">
        <v>10</v>
      </c>
      <c r="B12">
        <f>1772</f>
        <v>1772</v>
      </c>
      <c r="C12">
        <f>B3/(C3+B12)</f>
        <v>0.6782419967444384</v>
      </c>
      <c r="D12">
        <f t="shared" si="1"/>
        <v>1.201844818231145</v>
      </c>
      <c r="E12">
        <f>INT((D12/E3)*1024)</f>
        <v>315</v>
      </c>
      <c r="F12">
        <f>E12-F3</f>
        <v>20</v>
      </c>
      <c r="G12">
        <f t="shared" si="0"/>
        <v>0</v>
      </c>
    </row>
    <row r="13" spans="1:7" ht="12.75">
      <c r="A13">
        <v>20</v>
      </c>
      <c r="B13">
        <f>1922</f>
        <v>1922</v>
      </c>
      <c r="C13">
        <f>B3/(C3+B13)</f>
        <v>0.6647168306301515</v>
      </c>
      <c r="D13">
        <f t="shared" si="1"/>
        <v>1.2775857484711513</v>
      </c>
      <c r="E13">
        <f>INT((D13/E3)*1024)</f>
        <v>335</v>
      </c>
      <c r="F13">
        <f>E13-F3</f>
        <v>40</v>
      </c>
      <c r="G13">
        <f t="shared" si="0"/>
        <v>0</v>
      </c>
    </row>
    <row r="14" spans="1:7" ht="12.75">
      <c r="A14">
        <v>30</v>
      </c>
      <c r="B14">
        <f>2080</f>
        <v>2080</v>
      </c>
      <c r="C14">
        <f>B3/(C3+B14)</f>
        <v>0.6510416666666666</v>
      </c>
      <c r="D14">
        <f t="shared" si="1"/>
        <v>1.3541666666666665</v>
      </c>
      <c r="E14">
        <f>INT((D14/E3)*1024)</f>
        <v>355</v>
      </c>
      <c r="F14">
        <f>E14-F3</f>
        <v>60</v>
      </c>
      <c r="G14">
        <f t="shared" si="0"/>
        <v>0</v>
      </c>
    </row>
    <row r="15" spans="1:7" ht="12.75">
      <c r="A15">
        <v>40</v>
      </c>
      <c r="B15">
        <f>2245</f>
        <v>2245</v>
      </c>
      <c r="C15">
        <f>B3/(C3+B15)</f>
        <v>0.6373486297004461</v>
      </c>
      <c r="D15">
        <f t="shared" si="1"/>
        <v>1.4308476736775018</v>
      </c>
      <c r="E15">
        <f>INT((D15/E3)*1024)</f>
        <v>375</v>
      </c>
      <c r="F15">
        <f>E15-F3</f>
        <v>80</v>
      </c>
      <c r="G15">
        <f t="shared" si="0"/>
        <v>0</v>
      </c>
    </row>
    <row r="16" spans="1:7" ht="12.75">
      <c r="A16">
        <v>50</v>
      </c>
      <c r="B16">
        <f>2417</f>
        <v>2417</v>
      </c>
      <c r="C16">
        <f>B3/(C3+B16)</f>
        <v>0.6236746912810278</v>
      </c>
      <c r="D16">
        <f t="shared" si="1"/>
        <v>1.5074217288262441</v>
      </c>
      <c r="E16">
        <f>INT((D16/E3)*1024)</f>
        <v>395</v>
      </c>
      <c r="F16">
        <f>E16-F3</f>
        <v>100</v>
      </c>
      <c r="G16">
        <f t="shared" si="0"/>
        <v>0</v>
      </c>
    </row>
    <row r="17" spans="1:7" ht="12.75">
      <c r="A17">
        <v>60</v>
      </c>
      <c r="B17">
        <f>2597</f>
        <v>2597</v>
      </c>
      <c r="C17">
        <f>B3/(C3+B17)</f>
        <v>0.609979260705136</v>
      </c>
      <c r="D17">
        <f t="shared" si="1"/>
        <v>1.584116140051238</v>
      </c>
      <c r="E17">
        <f>INT((D17/E3)*1024)</f>
        <v>415</v>
      </c>
      <c r="F17">
        <f>E17-F3</f>
        <v>120</v>
      </c>
      <c r="G17">
        <f t="shared" si="0"/>
        <v>0</v>
      </c>
    </row>
    <row r="18" spans="1:7" ht="12.75">
      <c r="A18">
        <v>70</v>
      </c>
      <c r="B18">
        <f>2785</f>
        <v>2785</v>
      </c>
      <c r="C18">
        <f>B3/(C3+B18)</f>
        <v>0.5963029218843172</v>
      </c>
      <c r="D18">
        <f t="shared" si="1"/>
        <v>1.6607036374478235</v>
      </c>
      <c r="E18">
        <f>INT((D18/E3)*1024)</f>
        <v>435</v>
      </c>
      <c r="F18">
        <f>E18-F3</f>
        <v>140</v>
      </c>
      <c r="G18">
        <f t="shared" si="0"/>
        <v>0</v>
      </c>
    </row>
    <row r="19" spans="1:7" ht="12.75">
      <c r="A19">
        <v>80</v>
      </c>
      <c r="B19">
        <f>2980</f>
        <v>2980</v>
      </c>
      <c r="C19">
        <f>B3/(C3+B19)</f>
        <v>0.5827505827505828</v>
      </c>
      <c r="D19">
        <f t="shared" si="1"/>
        <v>1.7365967365967367</v>
      </c>
      <c r="E19">
        <f>INT((D19/E3)*1024)</f>
        <v>455</v>
      </c>
      <c r="F19">
        <f>E19-F3</f>
        <v>160</v>
      </c>
      <c r="G19">
        <f t="shared" si="0"/>
        <v>0</v>
      </c>
    </row>
    <row r="20" spans="1:7" ht="12.75">
      <c r="A20">
        <v>90</v>
      </c>
      <c r="B20">
        <f>3182</f>
        <v>3182</v>
      </c>
      <c r="C20">
        <f>B3/(C3+B20)</f>
        <v>0.5693463903438852</v>
      </c>
      <c r="D20">
        <f t="shared" si="1"/>
        <v>1.8116602140742428</v>
      </c>
      <c r="E20">
        <f>INT((D20/E3)*1024)</f>
        <v>475</v>
      </c>
      <c r="F20">
        <f>E20-F3</f>
        <v>180</v>
      </c>
      <c r="G20">
        <f t="shared" si="0"/>
        <v>0</v>
      </c>
    </row>
    <row r="21" spans="1:7" ht="12.75">
      <c r="A21">
        <v>100</v>
      </c>
      <c r="B21">
        <f>3392</f>
        <v>3392</v>
      </c>
      <c r="C21">
        <f>B3/(C3+B21)</f>
        <v>0.556049822064057</v>
      </c>
      <c r="D21">
        <f t="shared" si="1"/>
        <v>1.8861209964412813</v>
      </c>
      <c r="E21">
        <f>INT((D21/E3)*1024)</f>
        <v>494</v>
      </c>
      <c r="F21">
        <f>E21-F3</f>
        <v>199</v>
      </c>
      <c r="G21">
        <f t="shared" si="0"/>
        <v>-0.5</v>
      </c>
    </row>
    <row r="22" spans="1:7" ht="12.75">
      <c r="A22">
        <v>110</v>
      </c>
      <c r="B22">
        <f>3607</f>
        <v>3607</v>
      </c>
      <c r="C22">
        <f>B3/(C3+B22)</f>
        <v>0.5430650591940914</v>
      </c>
      <c r="D22">
        <f t="shared" si="1"/>
        <v>1.9588356685130877</v>
      </c>
      <c r="E22">
        <f>INT((D22/E3)*1024)</f>
        <v>513</v>
      </c>
      <c r="F22">
        <f>E22-F3</f>
        <v>218</v>
      </c>
      <c r="G22">
        <f t="shared" si="0"/>
        <v>-1</v>
      </c>
    </row>
    <row r="23" spans="1:7" ht="12.75">
      <c r="A23">
        <v>120</v>
      </c>
      <c r="B23">
        <f>3817</f>
        <v>3817</v>
      </c>
      <c r="C23">
        <f>B3/(C3+B23)</f>
        <v>0.5309546564723373</v>
      </c>
      <c r="D23">
        <f t="shared" si="1"/>
        <v>2.0266539237549117</v>
      </c>
      <c r="E23">
        <f>INT((D23/E3)*1024)</f>
        <v>531</v>
      </c>
      <c r="F23">
        <f>E23-F3</f>
        <v>236</v>
      </c>
      <c r="G23">
        <f t="shared" si="0"/>
        <v>-2</v>
      </c>
    </row>
    <row r="24" spans="1:7" ht="12.75">
      <c r="A24">
        <v>130</v>
      </c>
      <c r="B24">
        <f>4008</f>
        <v>4008</v>
      </c>
      <c r="C24">
        <f>B3/(C3+B24)</f>
        <v>0.5203996669442131</v>
      </c>
      <c r="D24">
        <f t="shared" si="1"/>
        <v>2.0857618651124064</v>
      </c>
      <c r="E24">
        <f>INT((D24/E3)*1024)</f>
        <v>546</v>
      </c>
      <c r="F24">
        <f>E24-F3</f>
        <v>251</v>
      </c>
      <c r="G24">
        <f t="shared" si="0"/>
        <v>-4.5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525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KWB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2006-10-04T11:25:36Z</dcterms:created>
  <dcterms:modified xsi:type="dcterms:W3CDTF">2008-03-17T06:53:54Z</dcterms:modified>
  <cp:category/>
  <cp:version/>
  <cp:contentType/>
  <cp:contentStatus/>
</cp:coreProperties>
</file>